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1075" windowHeight="9030"/>
  </bookViews>
  <sheets>
    <sheet name="CASH FLOW" sheetId="7" r:id="rId1"/>
    <sheet name="Balance sheet 17-18" sheetId="1" r:id="rId2"/>
    <sheet name="Profit &amp; loss 17-18" sheetId="2" r:id="rId3"/>
    <sheet name="S-12345 " sheetId="3" r:id="rId4"/>
    <sheet name="S-6789 " sheetId="4" r:id="rId5"/>
    <sheet name="S-10" sheetId="5" r:id="rId6"/>
    <sheet name="S-11-18" sheetId="6" r:id="rId7"/>
  </sheets>
  <externalReferences>
    <externalReference r:id="rId8"/>
    <externalReference r:id="rId9"/>
    <externalReference r:id="rId10"/>
  </externalReferences>
  <definedNames>
    <definedName name="AprBal" localSheetId="1">'Balance sheet 17-18'!#REF!</definedName>
    <definedName name="AprBal" localSheetId="2">'Profit &amp; loss 17-18'!#REF!</definedName>
    <definedName name="AprBal" localSheetId="5">'[3]PROFIL &amp; LOSS HY 2011'!#REF!</definedName>
    <definedName name="AprBal" localSheetId="6">'[3]PROFIL &amp; LOSS HY 2011'!#REF!</definedName>
    <definedName name="AprBal" localSheetId="3">'[3]PROFIL &amp; LOSS HY 2011'!#REF!</definedName>
    <definedName name="AprBal" localSheetId="4">'[3]PROFIL &amp; LOSS HY 2011'!#REF!</definedName>
    <definedName name="AprBal">'[2]PROFIL &amp; LOSS HY 2011'!#REF!</definedName>
    <definedName name="AugBal" localSheetId="1">'Balance sheet 17-18'!#REF!</definedName>
    <definedName name="AugBal" localSheetId="2">'Profit &amp; loss 17-18'!#REF!</definedName>
    <definedName name="AugBal" localSheetId="5">'[3]PROFIL &amp; LOSS HY 2011'!#REF!</definedName>
    <definedName name="AugBal" localSheetId="6">'[3]PROFIL &amp; LOSS HY 2011'!#REF!</definedName>
    <definedName name="AugBal" localSheetId="3">'[3]PROFIL &amp; LOSS HY 2011'!#REF!</definedName>
    <definedName name="AugBal" localSheetId="4">'[3]PROFIL &amp; LOSS HY 2011'!#REF!</definedName>
    <definedName name="AugBal">'[2]PROFIL &amp; LOSS HY 2011'!#REF!</definedName>
    <definedName name="FebBal" localSheetId="1">'Balance sheet 17-18'!#REF!</definedName>
    <definedName name="FebBal" localSheetId="2">'Profit &amp; loss 17-18'!#REF!</definedName>
    <definedName name="FebBal" localSheetId="5">'[3]PROFIL &amp; LOSS HY 2011'!#REF!</definedName>
    <definedName name="FebBal" localSheetId="6">'[3]PROFIL &amp; LOSS HY 2011'!#REF!</definedName>
    <definedName name="FebBal" localSheetId="3">'[3]PROFIL &amp; LOSS HY 2011'!#REF!</definedName>
    <definedName name="FebBal" localSheetId="4">'[3]PROFIL &amp; LOSS HY 2011'!#REF!</definedName>
    <definedName name="FebBal">'[2]PROFIL &amp; LOSS HY 2011'!#REF!</definedName>
    <definedName name="JanBal" localSheetId="1">'Balance sheet 17-18'!#REF!</definedName>
    <definedName name="JanBal" localSheetId="2">'Profit &amp; loss 17-18'!#REF!</definedName>
    <definedName name="JanBal" localSheetId="5">'[3]PROFIL &amp; LOSS HY 2011'!#REF!</definedName>
    <definedName name="JanBal" localSheetId="6">'[3]PROFIL &amp; LOSS HY 2011'!#REF!</definedName>
    <definedName name="JanBal" localSheetId="3">'[3]PROFIL &amp; LOSS HY 2011'!#REF!</definedName>
    <definedName name="JanBal" localSheetId="4">'[3]PROFIL &amp; LOSS HY 2011'!#REF!</definedName>
    <definedName name="JanBal">'[2]PROFIL &amp; LOSS HY 2011'!#REF!</definedName>
    <definedName name="JulBal" localSheetId="1">'Balance sheet 17-18'!#REF!</definedName>
    <definedName name="JulBal" localSheetId="2">'Profit &amp; loss 17-18'!#REF!</definedName>
    <definedName name="JulBal" localSheetId="5">'[3]PROFIL &amp; LOSS HY 2011'!#REF!</definedName>
    <definedName name="JulBal" localSheetId="6">'[3]PROFIL &amp; LOSS HY 2011'!#REF!</definedName>
    <definedName name="JulBal" localSheetId="3">'[3]PROFIL &amp; LOSS HY 2011'!#REF!</definedName>
    <definedName name="JulBal" localSheetId="4">'[3]PROFIL &amp; LOSS HY 2011'!#REF!</definedName>
    <definedName name="JulBal">'[2]PROFIL &amp; LOSS HY 2011'!#REF!</definedName>
    <definedName name="JunBal" localSheetId="1">'Balance sheet 17-18'!#REF!</definedName>
    <definedName name="JunBal" localSheetId="5">'[3]PROFIL &amp; LOSS HY 2011'!#REF!</definedName>
    <definedName name="JunBal" localSheetId="6">'[3]PROFIL &amp; LOSS HY 2011'!#REF!</definedName>
    <definedName name="JunBal" localSheetId="3">'[3]PROFIL &amp; LOSS HY 2011'!#REF!</definedName>
    <definedName name="JunBal" localSheetId="4">'[3]PROFIL &amp; LOSS HY 2011'!#REF!</definedName>
    <definedName name="JunBal">'[2]PROFIL &amp; LOSS HY 2011'!#REF!</definedName>
    <definedName name="MarBal" localSheetId="1">'Balance sheet 17-18'!#REF!</definedName>
    <definedName name="MarBal" localSheetId="5">'[3]PROFIL &amp; LOSS HY 2011'!#REF!</definedName>
    <definedName name="MarBal" localSheetId="6">'[3]PROFIL &amp; LOSS HY 2011'!#REF!</definedName>
    <definedName name="MarBal" localSheetId="3">'[3]PROFIL &amp; LOSS HY 2011'!#REF!</definedName>
    <definedName name="MarBal" localSheetId="4">'[3]PROFIL &amp; LOSS HY 2011'!#REF!</definedName>
    <definedName name="MarBal">'[2]PROFIL &amp; LOSS HY 2011'!#REF!</definedName>
    <definedName name="MayBal" localSheetId="1">'Balance sheet 17-18'!#REF!</definedName>
    <definedName name="MayBal" localSheetId="5">'[3]PROFIL &amp; LOSS HY 2011'!#REF!</definedName>
    <definedName name="MayBal" localSheetId="6">'[3]PROFIL &amp; LOSS HY 2011'!#REF!</definedName>
    <definedName name="MayBal" localSheetId="3">'[3]PROFIL &amp; LOSS HY 2011'!#REF!</definedName>
    <definedName name="MayBal" localSheetId="4">'[3]PROFIL &amp; LOSS HY 2011'!#REF!</definedName>
    <definedName name="MayBal">'[2]PROFIL &amp; LOSS HY 2011'!#REF!</definedName>
    <definedName name="Month1_Ending_Bal" localSheetId="1">'Balance sheet 17-18'!#REF!</definedName>
    <definedName name="Month1_Ending_Bal" localSheetId="5">'[3]PROFIL &amp; LOSS HY 2011'!#REF!</definedName>
    <definedName name="Month1_Ending_Bal" localSheetId="6">'[3]PROFIL &amp; LOSS HY 2011'!#REF!</definedName>
    <definedName name="Month1_Ending_Bal" localSheetId="3">'[3]PROFIL &amp; LOSS HY 2011'!#REF!</definedName>
    <definedName name="Month1_Ending_Bal" localSheetId="4">'[3]PROFIL &amp; LOSS HY 2011'!#REF!</definedName>
    <definedName name="Month1_Ending_Bal">'[2]PROFIL &amp; LOSS HY 2011'!#REF!</definedName>
    <definedName name="NovBal" localSheetId="1">'Balance sheet 17-18'!#REF!</definedName>
    <definedName name="NovBal" localSheetId="5">'[3]PROFIL &amp; LOSS HY 2011'!#REF!</definedName>
    <definedName name="NovBal" localSheetId="6">'[3]PROFIL &amp; LOSS HY 2011'!#REF!</definedName>
    <definedName name="NovBal" localSheetId="3">'[3]PROFIL &amp; LOSS HY 2011'!#REF!</definedName>
    <definedName name="NovBal" localSheetId="4">'[3]PROFIL &amp; LOSS HY 2011'!#REF!</definedName>
    <definedName name="NovBal">'[2]PROFIL &amp; LOSS HY 2011'!#REF!</definedName>
    <definedName name="OctBal" localSheetId="1">'Balance sheet 17-18'!#REF!</definedName>
    <definedName name="OctBal" localSheetId="5">'[3]PROFIL &amp; LOSS HY 2011'!#REF!</definedName>
    <definedName name="OctBal" localSheetId="6">'[3]PROFIL &amp; LOSS HY 2011'!#REF!</definedName>
    <definedName name="OctBal" localSheetId="3">'[3]PROFIL &amp; LOSS HY 2011'!#REF!</definedName>
    <definedName name="OctBal" localSheetId="4">'[3]PROFIL &amp; LOSS HY 2011'!#REF!</definedName>
    <definedName name="OctBal">'[2]PROFIL &amp; LOSS HY 2011'!#REF!</definedName>
    <definedName name="_xlnm.Print_Area" localSheetId="1">'Balance sheet 17-18'!$A$1:$K$111</definedName>
    <definedName name="_xlnm.Print_Area" localSheetId="0">'CASH FLOW'!$A$1:$D$55</definedName>
    <definedName name="_xlnm.Print_Area" localSheetId="2">'Profit &amp; loss 17-18'!$A$1:$Q$141</definedName>
    <definedName name="_xlnm.Print_Area" localSheetId="5">'S-10'!$A$1:$I$113</definedName>
    <definedName name="_xlnm.Print_Area" localSheetId="6">'S-11-18'!$A$1:$D$102</definedName>
    <definedName name="_xlnm.Print_Area" localSheetId="3">'S-12345 '!$A$1:$F$51</definedName>
    <definedName name="_xlnm.Print_Area" localSheetId="4">'S-6789 '!$A$1:$D$118</definedName>
    <definedName name="_xlnm.Print_Titles" localSheetId="0">'CASH FLOW'!#REF!</definedName>
    <definedName name="_xlnm.Print_Titles" localSheetId="5">'S-10'!$1:$7</definedName>
    <definedName name="_xlnm.Print_Titles" localSheetId="6">'S-11-18'!$1:$3</definedName>
    <definedName name="_xlnm.Print_Titles" localSheetId="3">'S-12345 '!$1:$3</definedName>
    <definedName name="SepBal" localSheetId="1">'Balance sheet 17-18'!#REF!</definedName>
    <definedName name="SepBal" localSheetId="2">'Profit &amp; loss 17-18'!#REF!</definedName>
    <definedName name="SepBal" localSheetId="5">'[3]PROFIL &amp; LOSS HY 2011'!#REF!</definedName>
    <definedName name="SepBal" localSheetId="6">'[3]PROFIL &amp; LOSS HY 2011'!#REF!</definedName>
    <definedName name="SepBal" localSheetId="3">'[3]PROFIL &amp; LOSS HY 2011'!#REF!</definedName>
    <definedName name="SepBal" localSheetId="4">'[3]PROFIL &amp; LOSS HY 2011'!#REF!</definedName>
    <definedName name="SepBal">'[2]PROFIL &amp; LOSS HY 2011'!#REF!</definedName>
    <definedName name="SeptBal" localSheetId="1">'Balance sheet 17-18'!#REF!</definedName>
    <definedName name="SeptBal" localSheetId="2">'Profit &amp; loss 17-18'!#REF!</definedName>
    <definedName name="SeptBal" localSheetId="5">'[3]PROFIL &amp; LOSS HY 2011'!#REF!</definedName>
    <definedName name="SeptBal" localSheetId="6">'[3]PROFIL &amp; LOSS HY 2011'!#REF!</definedName>
    <definedName name="SeptBal" localSheetId="3">'[3]PROFIL &amp; LOSS HY 2011'!#REF!</definedName>
    <definedName name="SeptBal" localSheetId="4">'[3]PROFIL &amp; LOSS HY 2011'!#REF!</definedName>
    <definedName name="SeptBal">'[2]PROFIL &amp; LOSS HY 2011'!#REF!</definedName>
    <definedName name="Z_4EA1D8B0_1165_4A1B_B859_13B040A238F9_.wvu.PrintArea" localSheetId="0" hidden="1">'CASH FLOW'!$A$7:$D$55</definedName>
    <definedName name="Z_4EA1D8B0_1165_4A1B_B859_13B040A238F9_.wvu.PrintTitles" localSheetId="0" hidden="1">'CASH FLOW'!#REF!</definedName>
    <definedName name="Z_4FE634E3_7C2E_44AA_9B69_664997167D88_.wvu.PrintArea" localSheetId="0" hidden="1">'CASH FLOW'!$A$7:$D$55</definedName>
    <definedName name="Z_4FE634E3_7C2E_44AA_9B69_664997167D88_.wvu.PrintTitles" localSheetId="0" hidden="1">'CASH FLOW'!#REF!</definedName>
    <definedName name="Z_F9C90882_07F3_11DA_9EBB_00C1260A82BD_.wvu.PrintArea" localSheetId="0" hidden="1">'CASH FLOW'!$A$7:$D$55</definedName>
    <definedName name="Z_F9C90882_07F3_11DA_9EBB_00C1260A82BD_.wvu.PrintTitles" localSheetId="0" hidden="1">'CASH FLOW'!#REF!</definedName>
  </definedNames>
  <calcPr calcId="125725"/>
</workbook>
</file>

<file path=xl/calcChain.xml><?xml version="1.0" encoding="utf-8"?>
<calcChain xmlns="http://schemas.openxmlformats.org/spreadsheetml/2006/main">
  <c r="E91" i="7"/>
  <c r="D90"/>
  <c r="C87"/>
  <c r="D88" s="1"/>
  <c r="D83"/>
  <c r="D76"/>
  <c r="D53"/>
  <c r="C53"/>
  <c r="D43"/>
  <c r="C42"/>
  <c r="D38"/>
  <c r="D27"/>
  <c r="D21"/>
  <c r="D28" s="1"/>
  <c r="D30" s="1"/>
  <c r="D20"/>
  <c r="D101" i="6"/>
  <c r="C101"/>
  <c r="D89"/>
  <c r="C89"/>
  <c r="C79"/>
  <c r="D77"/>
  <c r="D76"/>
  <c r="D79" s="1"/>
  <c r="D69"/>
  <c r="C69"/>
  <c r="C67"/>
  <c r="D61"/>
  <c r="C52"/>
  <c r="C61" s="1"/>
  <c r="D47"/>
  <c r="C47"/>
  <c r="D23"/>
  <c r="C23"/>
  <c r="D13"/>
  <c r="C13"/>
  <c r="C9"/>
  <c r="K115" i="5"/>
  <c r="J115"/>
  <c r="E113"/>
  <c r="H112"/>
  <c r="F112"/>
  <c r="I112" s="1"/>
  <c r="F111"/>
  <c r="H110"/>
  <c r="F110"/>
  <c r="I110" s="1"/>
  <c r="F109"/>
  <c r="H108"/>
  <c r="F108"/>
  <c r="I108" s="1"/>
  <c r="F107"/>
  <c r="H106"/>
  <c r="F106"/>
  <c r="I106" s="1"/>
  <c r="F105"/>
  <c r="H104"/>
  <c r="F104"/>
  <c r="I104" s="1"/>
  <c r="F103"/>
  <c r="H102"/>
  <c r="F102"/>
  <c r="I102" s="1"/>
  <c r="F101"/>
  <c r="H100"/>
  <c r="F100"/>
  <c r="I100" s="1"/>
  <c r="F99"/>
  <c r="H98"/>
  <c r="F98"/>
  <c r="I98" s="1"/>
  <c r="F97"/>
  <c r="H96"/>
  <c r="F96"/>
  <c r="I96" s="1"/>
  <c r="F95"/>
  <c r="H94"/>
  <c r="F94"/>
  <c r="I94" s="1"/>
  <c r="F93"/>
  <c r="H92"/>
  <c r="F92"/>
  <c r="I92" s="1"/>
  <c r="F91"/>
  <c r="D90"/>
  <c r="F90" s="1"/>
  <c r="D89"/>
  <c r="F89" s="1"/>
  <c r="D88"/>
  <c r="F88" s="1"/>
  <c r="H87"/>
  <c r="F87"/>
  <c r="I87" s="1"/>
  <c r="F86"/>
  <c r="D86"/>
  <c r="F85"/>
  <c r="H84"/>
  <c r="F84"/>
  <c r="I84" s="1"/>
  <c r="F83"/>
  <c r="H82"/>
  <c r="F82"/>
  <c r="I82" s="1"/>
  <c r="F81"/>
  <c r="D80"/>
  <c r="F80" s="1"/>
  <c r="H79"/>
  <c r="F79"/>
  <c r="I79" s="1"/>
  <c r="F78"/>
  <c r="D77"/>
  <c r="F77" s="1"/>
  <c r="H76"/>
  <c r="F76"/>
  <c r="I76" s="1"/>
  <c r="F75"/>
  <c r="H74"/>
  <c r="F74"/>
  <c r="I74" s="1"/>
  <c r="F73"/>
  <c r="H72"/>
  <c r="F72"/>
  <c r="I72" s="1"/>
  <c r="F71"/>
  <c r="D71"/>
  <c r="F70"/>
  <c r="D70"/>
  <c r="F69"/>
  <c r="D68"/>
  <c r="F68" s="1"/>
  <c r="H67"/>
  <c r="F67"/>
  <c r="I67" s="1"/>
  <c r="F66"/>
  <c r="H65"/>
  <c r="F65"/>
  <c r="I65" s="1"/>
  <c r="F64"/>
  <c r="D63"/>
  <c r="F63" s="1"/>
  <c r="H62"/>
  <c r="F62"/>
  <c r="I62" s="1"/>
  <c r="F61"/>
  <c r="D61"/>
  <c r="F60"/>
  <c r="H59"/>
  <c r="F59"/>
  <c r="I59" s="1"/>
  <c r="F58"/>
  <c r="H57"/>
  <c r="F57"/>
  <c r="I57" s="1"/>
  <c r="F56"/>
  <c r="H55"/>
  <c r="F55"/>
  <c r="I55" s="1"/>
  <c r="F54"/>
  <c r="H53"/>
  <c r="F53"/>
  <c r="I53" s="1"/>
  <c r="F52"/>
  <c r="H51"/>
  <c r="F51"/>
  <c r="I51" s="1"/>
  <c r="F50"/>
  <c r="D49"/>
  <c r="F49" s="1"/>
  <c r="H48"/>
  <c r="F48"/>
  <c r="I48" s="1"/>
  <c r="F47"/>
  <c r="H46"/>
  <c r="F46"/>
  <c r="I46" s="1"/>
  <c r="F45"/>
  <c r="D44"/>
  <c r="F44" s="1"/>
  <c r="H43"/>
  <c r="F43"/>
  <c r="I43" s="1"/>
  <c r="F42"/>
  <c r="D41"/>
  <c r="F41" s="1"/>
  <c r="H40"/>
  <c r="F40"/>
  <c r="I40" s="1"/>
  <c r="F39"/>
  <c r="D38"/>
  <c r="F38" s="1"/>
  <c r="H37"/>
  <c r="F37"/>
  <c r="I37" s="1"/>
  <c r="F36"/>
  <c r="D36"/>
  <c r="F35"/>
  <c r="D34"/>
  <c r="C34"/>
  <c r="C113" s="1"/>
  <c r="F33"/>
  <c r="H32"/>
  <c r="F32"/>
  <c r="I32" s="1"/>
  <c r="F31"/>
  <c r="H30"/>
  <c r="F30"/>
  <c r="I30" s="1"/>
  <c r="F29"/>
  <c r="H28"/>
  <c r="F28"/>
  <c r="I28" s="1"/>
  <c r="F27"/>
  <c r="H26"/>
  <c r="F26"/>
  <c r="I26" s="1"/>
  <c r="F25"/>
  <c r="H24"/>
  <c r="F24"/>
  <c r="I24" s="1"/>
  <c r="F23"/>
  <c r="H22"/>
  <c r="F22"/>
  <c r="I22" s="1"/>
  <c r="F21"/>
  <c r="H20"/>
  <c r="F20"/>
  <c r="I20" s="1"/>
  <c r="F19"/>
  <c r="D18"/>
  <c r="F18" s="1"/>
  <c r="H17"/>
  <c r="F17"/>
  <c r="I17" s="1"/>
  <c r="F16"/>
  <c r="H15"/>
  <c r="F15"/>
  <c r="I15" s="1"/>
  <c r="F14"/>
  <c r="H13"/>
  <c r="F13"/>
  <c r="I13" s="1"/>
  <c r="F12"/>
  <c r="H12" s="1"/>
  <c r="I12" s="1"/>
  <c r="H11"/>
  <c r="F11"/>
  <c r="I11" s="1"/>
  <c r="F10"/>
  <c r="D9"/>
  <c r="D113" s="1"/>
  <c r="H8"/>
  <c r="F8"/>
  <c r="D117" i="4"/>
  <c r="C117"/>
  <c r="C115"/>
  <c r="C100"/>
  <c r="C98"/>
  <c r="D97"/>
  <c r="D103" s="1"/>
  <c r="C94"/>
  <c r="C93"/>
  <c r="D91"/>
  <c r="C90"/>
  <c r="C89"/>
  <c r="C88"/>
  <c r="C86"/>
  <c r="C103" s="1"/>
  <c r="D76"/>
  <c r="C73"/>
  <c r="C76" s="1"/>
  <c r="D64"/>
  <c r="C64"/>
  <c r="D45"/>
  <c r="C45"/>
  <c r="F50" i="3"/>
  <c r="E47"/>
  <c r="E50" s="1"/>
  <c r="F41"/>
  <c r="E38"/>
  <c r="E41" s="1"/>
  <c r="F32"/>
  <c r="E29"/>
  <c r="E32" s="1"/>
  <c r="F23"/>
  <c r="E20"/>
  <c r="E23" s="1"/>
  <c r="E13"/>
  <c r="F12"/>
  <c r="F14" s="1"/>
  <c r="E9" s="1"/>
  <c r="E12" s="1"/>
  <c r="E14" s="1"/>
  <c r="E10"/>
  <c r="I113" i="2"/>
  <c r="K111"/>
  <c r="J109"/>
  <c r="H109"/>
  <c r="L109" s="1"/>
  <c r="J104"/>
  <c r="L104" s="1"/>
  <c r="J103"/>
  <c r="L103" s="1"/>
  <c r="J102"/>
  <c r="L102" s="1"/>
  <c r="J101"/>
  <c r="L101" s="1"/>
  <c r="L100"/>
  <c r="L99"/>
  <c r="L98"/>
  <c r="L97"/>
  <c r="J97"/>
  <c r="L96"/>
  <c r="J96"/>
  <c r="L95"/>
  <c r="L94"/>
  <c r="L93"/>
  <c r="J92"/>
  <c r="L92" s="1"/>
  <c r="J91"/>
  <c r="L91" s="1"/>
  <c r="J90"/>
  <c r="I90"/>
  <c r="L90" s="1"/>
  <c r="L89"/>
  <c r="J89"/>
  <c r="L88"/>
  <c r="J88"/>
  <c r="L87"/>
  <c r="J87"/>
  <c r="J86"/>
  <c r="H86"/>
  <c r="H106" s="1"/>
  <c r="J85"/>
  <c r="L85" s="1"/>
  <c r="J84"/>
  <c r="L84" s="1"/>
  <c r="J83"/>
  <c r="L83" s="1"/>
  <c r="L82"/>
  <c r="L81"/>
  <c r="L80"/>
  <c r="L79"/>
  <c r="J78"/>
  <c r="L78" s="1"/>
  <c r="L77"/>
  <c r="L76"/>
  <c r="J75"/>
  <c r="L75" s="1"/>
  <c r="J74"/>
  <c r="L74" s="1"/>
  <c r="L63"/>
  <c r="L62"/>
  <c r="L61"/>
  <c r="L60"/>
  <c r="L59"/>
  <c r="L58"/>
  <c r="J58"/>
  <c r="L57"/>
  <c r="J57"/>
  <c r="L56"/>
  <c r="J55"/>
  <c r="L55" s="1"/>
  <c r="J54"/>
  <c r="L54" s="1"/>
  <c r="J53"/>
  <c r="L53" s="1"/>
  <c r="J52"/>
  <c r="L52" s="1"/>
  <c r="L51"/>
  <c r="L50"/>
  <c r="L49"/>
  <c r="L48"/>
  <c r="J47"/>
  <c r="L47" s="1"/>
  <c r="L46"/>
  <c r="L45"/>
  <c r="J45"/>
  <c r="L44"/>
  <c r="J44"/>
  <c r="L43"/>
  <c r="J43"/>
  <c r="L42"/>
  <c r="J41"/>
  <c r="L41" s="1"/>
  <c r="L40"/>
  <c r="L39"/>
  <c r="J39"/>
  <c r="J106" s="1"/>
  <c r="L38"/>
  <c r="L37"/>
  <c r="L36"/>
  <c r="D36"/>
  <c r="L34"/>
  <c r="L33"/>
  <c r="L32"/>
  <c r="I32"/>
  <c r="L30"/>
  <c r="I30"/>
  <c r="I106" s="1"/>
  <c r="D30"/>
  <c r="D109" s="1"/>
  <c r="L29"/>
  <c r="L28"/>
  <c r="L27"/>
  <c r="L23"/>
  <c r="J23"/>
  <c r="J113" s="1"/>
  <c r="H23"/>
  <c r="H113" s="1"/>
  <c r="L113" s="1"/>
  <c r="L19"/>
  <c r="L18"/>
  <c r="L17"/>
  <c r="J16"/>
  <c r="L16" s="1"/>
  <c r="L15"/>
  <c r="L14"/>
  <c r="I13"/>
  <c r="L13" s="1"/>
  <c r="J12"/>
  <c r="J21" s="1"/>
  <c r="J111" s="1"/>
  <c r="H11"/>
  <c r="H21" s="1"/>
  <c r="D11"/>
  <c r="D23" s="1"/>
  <c r="D113" s="1"/>
  <c r="F69" i="1"/>
  <c r="F66"/>
  <c r="F65"/>
  <c r="F62"/>
  <c r="F61"/>
  <c r="F60"/>
  <c r="F59"/>
  <c r="F54"/>
  <c r="H48"/>
  <c r="H85" s="1"/>
  <c r="F47"/>
  <c r="F46"/>
  <c r="F45"/>
  <c r="F44"/>
  <c r="F48" s="1"/>
  <c r="F85" s="1"/>
  <c r="F35"/>
  <c r="F34"/>
  <c r="F33"/>
  <c r="F32"/>
  <c r="F31"/>
  <c r="F27"/>
  <c r="F26"/>
  <c r="F25"/>
  <c r="F24"/>
  <c r="F23"/>
  <c r="H20"/>
  <c r="F18" s="1"/>
  <c r="F20" s="1"/>
  <c r="F39" s="1"/>
  <c r="F19"/>
  <c r="D44" i="7" l="1"/>
  <c r="D46" s="1"/>
  <c r="D89"/>
  <c r="D91" s="1"/>
  <c r="H49" i="5"/>
  <c r="I49"/>
  <c r="H68"/>
  <c r="I68"/>
  <c r="H77"/>
  <c r="I77"/>
  <c r="H80"/>
  <c r="I80"/>
  <c r="H88"/>
  <c r="I88"/>
  <c r="H90"/>
  <c r="I90"/>
  <c r="H18"/>
  <c r="I18"/>
  <c r="H38"/>
  <c r="I38"/>
  <c r="H41"/>
  <c r="I41"/>
  <c r="H44"/>
  <c r="I44"/>
  <c r="H63"/>
  <c r="I63"/>
  <c r="H89"/>
  <c r="I89"/>
  <c r="I14"/>
  <c r="I8"/>
  <c r="F9"/>
  <c r="H10"/>
  <c r="I10" s="1"/>
  <c r="H14"/>
  <c r="H16"/>
  <c r="I16" s="1"/>
  <c r="H19"/>
  <c r="I19" s="1"/>
  <c r="H21"/>
  <c r="I21" s="1"/>
  <c r="H23"/>
  <c r="I23" s="1"/>
  <c r="H25"/>
  <c r="I25" s="1"/>
  <c r="H27"/>
  <c r="I27" s="1"/>
  <c r="H29"/>
  <c r="I29" s="1"/>
  <c r="H31"/>
  <c r="I31" s="1"/>
  <c r="H33"/>
  <c r="I33" s="1"/>
  <c r="F34"/>
  <c r="H35"/>
  <c r="I35" s="1"/>
  <c r="H36"/>
  <c r="I36" s="1"/>
  <c r="H39"/>
  <c r="I39" s="1"/>
  <c r="H42"/>
  <c r="I42" s="1"/>
  <c r="H45"/>
  <c r="I45" s="1"/>
  <c r="H47"/>
  <c r="I47" s="1"/>
  <c r="H50"/>
  <c r="I50" s="1"/>
  <c r="H52"/>
  <c r="I52" s="1"/>
  <c r="H54"/>
  <c r="I54" s="1"/>
  <c r="H56"/>
  <c r="I56" s="1"/>
  <c r="H58"/>
  <c r="I58" s="1"/>
  <c r="H60"/>
  <c r="I60" s="1"/>
  <c r="H61"/>
  <c r="I61" s="1"/>
  <c r="H64"/>
  <c r="I64" s="1"/>
  <c r="H66"/>
  <c r="I66" s="1"/>
  <c r="H69"/>
  <c r="I69" s="1"/>
  <c r="H70"/>
  <c r="I70" s="1"/>
  <c r="H71"/>
  <c r="I71" s="1"/>
  <c r="H73"/>
  <c r="I73" s="1"/>
  <c r="H75"/>
  <c r="I75" s="1"/>
  <c r="H78"/>
  <c r="I78" s="1"/>
  <c r="H81"/>
  <c r="I81" s="1"/>
  <c r="H83"/>
  <c r="I83" s="1"/>
  <c r="H85"/>
  <c r="I85" s="1"/>
  <c r="H86"/>
  <c r="I86" s="1"/>
  <c r="H91"/>
  <c r="I91" s="1"/>
  <c r="H93"/>
  <c r="I93" s="1"/>
  <c r="H95"/>
  <c r="I95" s="1"/>
  <c r="H97"/>
  <c r="I97" s="1"/>
  <c r="H99"/>
  <c r="I99" s="1"/>
  <c r="H101"/>
  <c r="I101" s="1"/>
  <c r="H103"/>
  <c r="I103" s="1"/>
  <c r="H105"/>
  <c r="I105" s="1"/>
  <c r="H107"/>
  <c r="I107" s="1"/>
  <c r="H109"/>
  <c r="I109" s="1"/>
  <c r="H111"/>
  <c r="I111" s="1"/>
  <c r="H111" i="2"/>
  <c r="I21"/>
  <c r="I111" s="1"/>
  <c r="L11"/>
  <c r="L12"/>
  <c r="L86"/>
  <c r="L106" s="1"/>
  <c r="H39" i="1"/>
  <c r="H34" i="5" l="1"/>
  <c r="I34"/>
  <c r="H9"/>
  <c r="H113" s="1"/>
  <c r="I9"/>
  <c r="F113"/>
  <c r="I113"/>
  <c r="L21" i="2"/>
  <c r="L111" s="1"/>
</calcChain>
</file>

<file path=xl/sharedStrings.xml><?xml version="1.0" encoding="utf-8"?>
<sst xmlns="http://schemas.openxmlformats.org/spreadsheetml/2006/main" count="847" uniqueCount="517">
  <si>
    <t>DULIAJAN, ASSAM-786602</t>
  </si>
  <si>
    <t>STATEMENT OF FINANCIAL POSITION AS AT 31st MARCH'2018</t>
  </si>
  <si>
    <t>DESCRIPTION</t>
  </si>
  <si>
    <t>AS AT 31.03.2018</t>
  </si>
  <si>
    <t>AS AT 31.03.2017</t>
  </si>
  <si>
    <t>SOURCES OF FUND</t>
  </si>
  <si>
    <t>`</t>
  </si>
  <si>
    <t>CAPITAL FUND  :</t>
  </si>
  <si>
    <t>Balance as at 01.04.2017</t>
  </si>
  <si>
    <t>Add : Surplus / ( Deficit) during the year</t>
  </si>
  <si>
    <t>Balance as at 31.03.2018</t>
  </si>
  <si>
    <t>OTHERS FUNDS  :</t>
  </si>
  <si>
    <t>Tennis Academy Fund</t>
  </si>
  <si>
    <t>Staff Welfare Fund</t>
  </si>
  <si>
    <t>Welfare Fund (other than club employees)</t>
  </si>
  <si>
    <t>Gratuity Fund</t>
  </si>
  <si>
    <t>Golf Sponsor Fund</t>
  </si>
  <si>
    <t>CURRENT LIABILITIES &amp; PROVISIONS  :</t>
  </si>
  <si>
    <t xml:space="preserve">( i )  Creditors </t>
  </si>
  <si>
    <t xml:space="preserve">              (a)  Club</t>
  </si>
  <si>
    <t xml:space="preserve">              (b)  Annexe</t>
  </si>
  <si>
    <t>( ii )  Employees Liabilities</t>
  </si>
  <si>
    <t>( iii ) Provisions</t>
  </si>
  <si>
    <t>( iv ) Duties and Taxes</t>
  </si>
  <si>
    <t xml:space="preserve"> TOTAL SOURCES OF FUND</t>
  </si>
  <si>
    <t>APPLICATION OF FUND</t>
  </si>
  <si>
    <t>FIXED ASSETS : as at 01.04.2017</t>
  </si>
  <si>
    <t xml:space="preserve">Add:  Purchase During the year </t>
  </si>
  <si>
    <t>Less: Write Off</t>
  </si>
  <si>
    <t xml:space="preserve">Less: Depreciation </t>
  </si>
  <si>
    <t>FIXED ASSETS : as at  31.03.2018</t>
  </si>
  <si>
    <t>a</t>
  </si>
  <si>
    <t>Capital Work-in-progress (Software)</t>
  </si>
  <si>
    <t>INVESTMENTS :</t>
  </si>
  <si>
    <t>LIC Group Gratuity Fund</t>
  </si>
  <si>
    <t>Accrued Interest</t>
  </si>
  <si>
    <t>CURRENT ASSETS  :</t>
  </si>
  <si>
    <t>SUNDRY DEBTORS :</t>
  </si>
  <si>
    <t>( i )    Affiliated Club</t>
  </si>
  <si>
    <t>( ii )   Non-Oil Members</t>
  </si>
  <si>
    <t>( iii )  Others</t>
  </si>
  <si>
    <t>LOAN &amp; ADVANCES  :</t>
  </si>
  <si>
    <t>( i )   Staff</t>
  </si>
  <si>
    <t xml:space="preserve">( ii )  Advance Against Event </t>
  </si>
  <si>
    <t>STOCK-IN-HAND  :</t>
  </si>
  <si>
    <t xml:space="preserve">( i )  Bar Closing Stock </t>
  </si>
  <si>
    <t>OTHER CURRENT ASSETS :</t>
  </si>
  <si>
    <t>( i ) Group Life Insurance Premium Deposited</t>
  </si>
  <si>
    <t>( ii ) Group Mediclaim Insurance Premium Deposited</t>
  </si>
  <si>
    <t>CASH &amp; BANK  BALANCES :</t>
  </si>
  <si>
    <r>
      <t>Balance with Saving Bank Account,</t>
    </r>
    <r>
      <rPr>
        <sz val="50"/>
        <rFont val="Calibri"/>
        <family val="2"/>
        <scheme val="minor"/>
      </rPr>
      <t>United Bank of India,Duliajan</t>
    </r>
  </si>
  <si>
    <r>
      <t>Balance with Saving Bank Account,</t>
    </r>
    <r>
      <rPr>
        <sz val="50"/>
        <rFont val="Calibri"/>
        <family val="2"/>
        <scheme val="minor"/>
      </rPr>
      <t>State Bank of India,Duliajan</t>
    </r>
  </si>
  <si>
    <r>
      <t>Balance with Current Bank Account,</t>
    </r>
    <r>
      <rPr>
        <sz val="50"/>
        <rFont val="Calibri"/>
        <family val="2"/>
        <scheme val="minor"/>
      </rPr>
      <t>State Bank of India,Duliajan</t>
    </r>
  </si>
  <si>
    <r>
      <t>Balance with Saving Bank Account,</t>
    </r>
    <r>
      <rPr>
        <sz val="50"/>
        <rFont val="Calibri"/>
        <family val="2"/>
        <scheme val="minor"/>
      </rPr>
      <t>HDFC,Duliajan</t>
    </r>
  </si>
  <si>
    <r>
      <t>Balance with Current Bank Account,</t>
    </r>
    <r>
      <rPr>
        <sz val="50"/>
        <rFont val="Calibri"/>
        <family val="2"/>
        <scheme val="minor"/>
      </rPr>
      <t>HDFC,Duliajan</t>
    </r>
  </si>
  <si>
    <t>Prepaid Card</t>
  </si>
  <si>
    <t>Cash in hand</t>
  </si>
  <si>
    <t>TOTAL APPLICATION OF FUND</t>
  </si>
  <si>
    <t xml:space="preserve">                   Honorary Treasurer                                                                                       Honorary General Secretary                                                      President</t>
  </si>
  <si>
    <t>We have audited the Statement of Financial Position as at  31.03.2018 and Income and Expenditure Account of  Zaloni Club  for year ended  31.03.2018.</t>
  </si>
  <si>
    <t>In our opinion and to the best of our information  and  according  to the explanations  given  to  us the  Statement of Financial Position as at 31.03.2018</t>
  </si>
  <si>
    <t>and Income &amp; Expenditure Account for year ended as on that date, gives a true and fair view of the state of affairs of the club.</t>
  </si>
  <si>
    <t>AUDITOR</t>
  </si>
  <si>
    <t xml:space="preserve">                            AUDITOR</t>
  </si>
  <si>
    <t>DATE    :  16.05.2018</t>
  </si>
  <si>
    <t>INCOME AND EXPENDITURE ACCOUNT FOR THE YEAR ENDED 31.03.2018</t>
  </si>
  <si>
    <t>FINANCIAL YEAR 2017-18</t>
  </si>
  <si>
    <t>PREVIOUS YEAR 2016-17</t>
  </si>
  <si>
    <t>ANNEXE</t>
  </si>
  <si>
    <t>BAR</t>
  </si>
  <si>
    <t>CLUB</t>
  </si>
  <si>
    <t xml:space="preserve">TOTAL </t>
  </si>
  <si>
    <t>REVENUE</t>
  </si>
  <si>
    <t xml:space="preserve">Annexe Receipts </t>
  </si>
  <si>
    <t>-</t>
  </si>
  <si>
    <t>Auditorium Booking</t>
  </si>
  <si>
    <t xml:space="preserve">Bar Sales </t>
  </si>
  <si>
    <t>Fees from Non-Oil Members</t>
  </si>
  <si>
    <t>Health Club Subscription</t>
  </si>
  <si>
    <t>Interest received</t>
  </si>
  <si>
    <t>Matching Grant</t>
  </si>
  <si>
    <t>Members Subscription</t>
  </si>
  <si>
    <t>Stall Rent</t>
  </si>
  <si>
    <t>Total Revenue (Current Year)</t>
  </si>
  <si>
    <t>Total Revenue (Previous  Year)</t>
  </si>
  <si>
    <t>EXPENSES</t>
  </si>
  <si>
    <t>Cost of Sales</t>
  </si>
  <si>
    <t>Opening Stock as on 01.04.2017</t>
  </si>
  <si>
    <t>Add :- Bar Purchase</t>
  </si>
  <si>
    <t>Less :- Closing Stock as on 31.03.2018</t>
  </si>
  <si>
    <t>Total Cost of Sales</t>
  </si>
  <si>
    <t>Bar Excise Duty &amp; VAT</t>
  </si>
  <si>
    <t>Bar General Expenditure</t>
  </si>
  <si>
    <t>Bar License Fee</t>
  </si>
  <si>
    <t>Annexe Expenditure</t>
  </si>
  <si>
    <t>Annual Gen. Meeting</t>
  </si>
  <si>
    <t>Bachelors' Meet</t>
  </si>
  <si>
    <t>Badminton</t>
  </si>
  <si>
    <t>Bank Charges</t>
  </si>
  <si>
    <t>Billiards</t>
  </si>
  <si>
    <t>Bihu Workshop</t>
  </si>
  <si>
    <t>Bridge</t>
  </si>
  <si>
    <t>Chess</t>
  </si>
  <si>
    <t>Children Meet</t>
  </si>
  <si>
    <t>Christmas Eve</t>
  </si>
  <si>
    <t>Cinema</t>
  </si>
  <si>
    <t>Club Foundation Day</t>
  </si>
  <si>
    <t>Club Sports Meet</t>
  </si>
  <si>
    <t>Committee Meeting Exp.</t>
  </si>
  <si>
    <t>Cricket</t>
  </si>
  <si>
    <t>Cultural Nite</t>
  </si>
  <si>
    <t>Depreciation</t>
  </si>
  <si>
    <t>Diwali Eve</t>
  </si>
  <si>
    <t>Drama</t>
  </si>
  <si>
    <t xml:space="preserve">Garden/Flower Show/ Green fair </t>
  </si>
  <si>
    <t>General Charges</t>
  </si>
  <si>
    <t>Golf</t>
  </si>
  <si>
    <t>Health Club</t>
  </si>
  <si>
    <t>Holi</t>
  </si>
  <si>
    <t>Honorarium</t>
  </si>
  <si>
    <t>House Keeping</t>
  </si>
  <si>
    <t>Independence Day</t>
  </si>
  <si>
    <t>Legal Charge/ Audit Fee</t>
  </si>
  <si>
    <t>Library</t>
  </si>
  <si>
    <t>Magh Bihu</t>
  </si>
  <si>
    <t>New year's Eve</t>
  </si>
  <si>
    <t>Parikrama</t>
  </si>
  <si>
    <t>Printing &amp; stationery</t>
  </si>
  <si>
    <t>Professional Tax</t>
  </si>
  <si>
    <t>Puja Eve</t>
  </si>
  <si>
    <t xml:space="preserve">Repairing Job </t>
  </si>
  <si>
    <t>Squash</t>
  </si>
  <si>
    <t xml:space="preserve">Staff Group Life Insurance </t>
  </si>
  <si>
    <t xml:space="preserve">Staff Mediclaim Insurance </t>
  </si>
  <si>
    <t xml:space="preserve">Staff Ex Gratia </t>
  </si>
  <si>
    <t>Staff LFA &amp; Leave Encashment</t>
  </si>
  <si>
    <t>Staff P.F. Contribution</t>
  </si>
  <si>
    <t>Staff Uniform</t>
  </si>
  <si>
    <t>Staff Wages &amp; Salary</t>
  </si>
  <si>
    <t>Staff NPS Contribution</t>
  </si>
  <si>
    <t>Staff Gratuity Fund</t>
  </si>
  <si>
    <t>Swimming</t>
  </si>
  <si>
    <t xml:space="preserve">Staff Welfare Fund </t>
  </si>
  <si>
    <t>Tambola</t>
  </si>
  <si>
    <t>Table Tennis</t>
  </si>
  <si>
    <t>Tennis</t>
  </si>
  <si>
    <t xml:space="preserve">Tennis Academy </t>
  </si>
  <si>
    <t>Thanks Giving Ceremony</t>
  </si>
  <si>
    <t>Prior Period items (Output VAT)</t>
  </si>
  <si>
    <t>Bad Debt</t>
  </si>
  <si>
    <t xml:space="preserve">Contribution to Gratuity Fund </t>
  </si>
  <si>
    <t>Contribution to Staff Welfare Fund</t>
  </si>
  <si>
    <r>
      <t xml:space="preserve">Contribution to Welfare Fund </t>
    </r>
    <r>
      <rPr>
        <sz val="25"/>
        <rFont val="Calibri"/>
        <family val="2"/>
        <scheme val="minor"/>
      </rPr>
      <t>(other than club employees)</t>
    </r>
  </si>
  <si>
    <t>Total Expenses (Current Year)</t>
  </si>
  <si>
    <t>Total Expenses (Previous Year)</t>
  </si>
  <si>
    <t xml:space="preserve">Current Year Surplus / (Deficit) </t>
  </si>
  <si>
    <t>Previous Year Surplus / ( Deficit )</t>
  </si>
  <si>
    <t xml:space="preserve">               Honorary Treasurer                              Honorary General Secretary                                                 President</t>
  </si>
  <si>
    <t xml:space="preserve">We have audited the Statement of Financial Position as at 31.03.2018 and Income and Expenditure Account  of  Zaloni  Club  for  year ended </t>
  </si>
  <si>
    <t xml:space="preserve">31.03.2018.    In our opinion and to the best of our information  and  according  to the explanations  given  to  us the  Statement  of Financial </t>
  </si>
  <si>
    <r>
      <t xml:space="preserve">Position as at </t>
    </r>
    <r>
      <rPr>
        <b/>
        <sz val="45"/>
        <rFont val="Calibri"/>
        <family val="2"/>
        <scheme val="minor"/>
      </rPr>
      <t>31.03.2018</t>
    </r>
    <r>
      <rPr>
        <b/>
        <sz val="54"/>
        <rFont val="Calibri"/>
        <family val="2"/>
        <scheme val="minor"/>
      </rPr>
      <t xml:space="preserve"> and Income and Expenditure Account for year ended as on that date,gives a true and fair view of the state of affairs </t>
    </r>
  </si>
  <si>
    <t>of the club.</t>
  </si>
  <si>
    <t>DATE :16.05.2018</t>
  </si>
  <si>
    <t>SCHEDULE  ATTACHED  TO  AND  FORMING  PART  OF  THE  BALANCE SHEET  AS  AT  31.03.2018</t>
  </si>
  <si>
    <t>SCHEDULE -1</t>
  </si>
  <si>
    <t>Tennis Academy Fund :</t>
  </si>
  <si>
    <t>Particulars</t>
  </si>
  <si>
    <t>Balance as on 31.03.2018 ( ` )</t>
  </si>
  <si>
    <t>Balance as on 31.03.2017 ( ` )</t>
  </si>
  <si>
    <t xml:space="preserve">Opening Balance  </t>
  </si>
  <si>
    <t>Add : Subscription Received</t>
  </si>
  <si>
    <t>Add: Transfer</t>
  </si>
  <si>
    <t xml:space="preserve">Total Amount </t>
  </si>
  <si>
    <t>Less : Amount Disbursed</t>
  </si>
  <si>
    <t xml:space="preserve">Closing Balance </t>
  </si>
  <si>
    <t>SCHEDULE -2</t>
  </si>
  <si>
    <t>Staff Welfare Fund :</t>
  </si>
  <si>
    <t xml:space="preserve">Add : Amount Transferred </t>
  </si>
  <si>
    <t xml:space="preserve">Less : Amount Disbursed </t>
  </si>
  <si>
    <t>SCHEDULE -3</t>
  </si>
  <si>
    <r>
      <t xml:space="preserve">Welfare Fund </t>
    </r>
    <r>
      <rPr>
        <b/>
        <sz val="12"/>
        <rFont val="Rupee Foradian"/>
        <family val="2"/>
      </rPr>
      <t>(other than club employees)</t>
    </r>
    <r>
      <rPr>
        <b/>
        <sz val="16"/>
        <rFont val="Rupee Foradian"/>
        <family val="2"/>
      </rPr>
      <t xml:space="preserve"> :</t>
    </r>
  </si>
  <si>
    <t>Balance as on 31.03.2017  ( ` )</t>
  </si>
  <si>
    <t>Add : Amount Transferred</t>
  </si>
  <si>
    <t>SCHEDULE -4</t>
  </si>
  <si>
    <t>Gratuity Fund :</t>
  </si>
  <si>
    <t>Add : Amount Transferred from I &amp; Exp</t>
  </si>
  <si>
    <t>SCHEDULE -5</t>
  </si>
  <si>
    <t>Golf Fund  :</t>
  </si>
  <si>
    <t>Add : Amount received from OIL</t>
  </si>
  <si>
    <t>SCHEDULE ATTACHED TO AND FORMING PART OF THE BALANCE SHEET AS AT 31.03.2018</t>
  </si>
  <si>
    <t>SCHEDULE -6</t>
  </si>
  <si>
    <t>(i) Creditors  :</t>
  </si>
  <si>
    <t xml:space="preserve">(a)   Club </t>
  </si>
  <si>
    <t>Sl.No</t>
  </si>
  <si>
    <t>Akram Khan</t>
  </si>
  <si>
    <t>All Assam Jr Tennis Championship</t>
  </si>
  <si>
    <t>Barber ( Bhola Nath)</t>
  </si>
  <si>
    <t>Barber ( Pradip Thakur )</t>
  </si>
  <si>
    <t>Barber ( Suraj Thakur )</t>
  </si>
  <si>
    <t>Chat Stall</t>
  </si>
  <si>
    <t>Digboi Club ( Payable )</t>
  </si>
  <si>
    <t>Ibrar Ahmed</t>
  </si>
  <si>
    <t>M/s Agarwal Brothers &amp; Co.</t>
  </si>
  <si>
    <t>M/s Ano Agency</t>
  </si>
  <si>
    <t>M/s Associated Printers</t>
  </si>
  <si>
    <t>M/s Das Agengies</t>
  </si>
  <si>
    <t>M/s Data Prime</t>
  </si>
  <si>
    <t>M/s Different Strokes</t>
  </si>
  <si>
    <t>M/s Mohit Enterprises</t>
  </si>
  <si>
    <t>M/s Orient Bakery &amp; Sweets</t>
  </si>
  <si>
    <t>M/s Patowary Book Forum</t>
  </si>
  <si>
    <t>M/s R J Enterprise</t>
  </si>
  <si>
    <t>M/s R.S Enterprises</t>
  </si>
  <si>
    <t>M/s S G Store</t>
  </si>
  <si>
    <t>M/s Shashi B Goel</t>
  </si>
  <si>
    <t>M/s Shree Fashion</t>
  </si>
  <si>
    <t>M/s Shree Venkatesh Films Pvt Ltd</t>
  </si>
  <si>
    <t>M/s Sports land</t>
  </si>
  <si>
    <t>M/s Tech Trades</t>
  </si>
  <si>
    <t>M/s V Gulab</t>
  </si>
  <si>
    <t>M/s Wintech Printers</t>
  </si>
  <si>
    <t>Magh Bihu Convenor</t>
  </si>
  <si>
    <t>Modi Brothers</t>
  </si>
  <si>
    <t>Mr. Bitu Bikram Borah ( Restaurant )</t>
  </si>
  <si>
    <t>Mr. Pawan Kr Verma ( Cinema )</t>
  </si>
  <si>
    <t>Mr. Premson Kather</t>
  </si>
  <si>
    <t>Mrs. Pratibha Rabha Sonowal</t>
  </si>
  <si>
    <t>Srijonee Sale ( Ladies Club )</t>
  </si>
  <si>
    <t>Perfect Enterprises</t>
  </si>
  <si>
    <t>(b) Annexe.</t>
  </si>
  <si>
    <t>b</t>
  </si>
  <si>
    <t>Abbash Kureshi</t>
  </si>
  <si>
    <t>B K Gupta</t>
  </si>
  <si>
    <t>Bhupen Gogoi</t>
  </si>
  <si>
    <t>Edutech Private Limited</t>
  </si>
  <si>
    <t>Honey Dew</t>
  </si>
  <si>
    <t>Jagilal Sah</t>
  </si>
  <si>
    <t>Khalsa Dairy</t>
  </si>
  <si>
    <t>M/s JRP Equipments</t>
  </si>
  <si>
    <t>M/s OIEECCSL</t>
  </si>
  <si>
    <t>M/s SRA</t>
  </si>
  <si>
    <t>Rajesh Sahani</t>
  </si>
  <si>
    <t>Subhash Dey</t>
  </si>
  <si>
    <t>SCHEDULE -7</t>
  </si>
  <si>
    <t>(ii) Employees' Liabilities</t>
  </si>
  <si>
    <t>Employees' Liabilities</t>
  </si>
  <si>
    <t>National Pension Fund Payable</t>
  </si>
  <si>
    <t>SCHEDULE -8</t>
  </si>
  <si>
    <t>(iii) Provisions</t>
  </si>
  <si>
    <t>Annual General meeting</t>
  </si>
  <si>
    <t>Badminton Convener</t>
  </si>
  <si>
    <t>Bihu workshop</t>
  </si>
  <si>
    <t>Billiards Convener</t>
  </si>
  <si>
    <t>Bridge Convener</t>
  </si>
  <si>
    <t>Chess Convener</t>
  </si>
  <si>
    <t xml:space="preserve">Cultural Nite </t>
  </si>
  <si>
    <t>Drama Convener</t>
  </si>
  <si>
    <t>General Expenses (GS)</t>
  </si>
  <si>
    <t>Golf Convener</t>
  </si>
  <si>
    <t>Legal Charge</t>
  </si>
  <si>
    <t>Library Convener</t>
  </si>
  <si>
    <t>Squash Convener</t>
  </si>
  <si>
    <t>Tennis Convener</t>
  </si>
  <si>
    <t>SCHEDULE -9</t>
  </si>
  <si>
    <t>(iii) Duties and Taxes</t>
  </si>
  <si>
    <t>Output VAT @ 6 %</t>
  </si>
  <si>
    <t>Professional Tax for Club</t>
  </si>
  <si>
    <t>Professional Tax for Employee</t>
  </si>
  <si>
    <t>GST Payable</t>
  </si>
  <si>
    <t>SCHEDULE -10</t>
  </si>
  <si>
    <t>DETAILS OF FIXED ASSETS AS AT 31.03.2018</t>
  </si>
  <si>
    <t>Sl. No.</t>
  </si>
  <si>
    <t>Description of Assets</t>
  </si>
  <si>
    <t>W.D.V as at 01.04.2017</t>
  </si>
  <si>
    <t xml:space="preserve">Additions During the Year </t>
  </si>
  <si>
    <t xml:space="preserve">Sold/ Write Off </t>
  </si>
  <si>
    <t>Total Value of Assets as at 31.03.2018</t>
  </si>
  <si>
    <t>Rate of Depreciation (as per IT Act)</t>
  </si>
  <si>
    <t xml:space="preserve">Depreciation Amount                       </t>
  </si>
  <si>
    <t>W.D.V as at  31.03.2018</t>
  </si>
  <si>
    <t>Category</t>
  </si>
  <si>
    <t>W.D.V(I.Tax)</t>
  </si>
  <si>
    <t>%</t>
  </si>
  <si>
    <t>Aerobic Stepper</t>
  </si>
  <si>
    <t>Machinery</t>
  </si>
  <si>
    <t>Air Conditioner</t>
  </si>
  <si>
    <t>Furniture</t>
  </si>
  <si>
    <t>All in Printer (HP)</t>
  </si>
  <si>
    <t>Almirah</t>
  </si>
  <si>
    <t>Aluminium Ladder(Golf)</t>
  </si>
  <si>
    <t>Amplifier</t>
  </si>
  <si>
    <t>Aqua Guard</t>
  </si>
  <si>
    <t>Aspee Brush Cutter Golf</t>
  </si>
  <si>
    <t>Audio System</t>
  </si>
  <si>
    <t>Bamboo Hut</t>
  </si>
  <si>
    <t>Building</t>
  </si>
  <si>
    <t>Bar Furniture</t>
  </si>
  <si>
    <t>Bar Glass</t>
  </si>
  <si>
    <t>Bar Lighting System</t>
  </si>
  <si>
    <t>Glass</t>
  </si>
  <si>
    <t>Bar Name Plate</t>
  </si>
  <si>
    <t>Bar Stools</t>
  </si>
  <si>
    <t>Bathroom Accessories</t>
  </si>
  <si>
    <t>Billiard Board</t>
  </si>
  <si>
    <t>Charge to revenue</t>
  </si>
  <si>
    <t>Books</t>
  </si>
  <si>
    <t>Brush Cutter (Model Power Weeder Spartra 44)</t>
  </si>
  <si>
    <t>Carpet</t>
  </si>
  <si>
    <t>Computer</t>
  </si>
  <si>
    <t>CC TV</t>
  </si>
  <si>
    <t>Ceiling Fan</t>
  </si>
  <si>
    <t>Chess  Clock</t>
  </si>
  <si>
    <t>Chess Table</t>
  </si>
  <si>
    <t>Cinema/Stage Screen</t>
  </si>
  <si>
    <t>Cinematography Projector</t>
  </si>
  <si>
    <t>Club Furniture</t>
  </si>
  <si>
    <t>Cricket  Mat</t>
  </si>
  <si>
    <t>Cricket Gear</t>
  </si>
  <si>
    <t>Crockery &amp; Cutlery</t>
  </si>
  <si>
    <t>Curtain Cloth</t>
  </si>
  <si>
    <t>Cushion</t>
  </si>
  <si>
    <t>Deep Fridge</t>
  </si>
  <si>
    <t>Desktop (PC)</t>
  </si>
  <si>
    <t>Dish Antennae</t>
  </si>
  <si>
    <t>Electrical fittings</t>
  </si>
  <si>
    <t>Exhaust fan</t>
  </si>
  <si>
    <t>Flex Printing</t>
  </si>
  <si>
    <t>Floor Mat</t>
  </si>
  <si>
    <t>Fountain</t>
  </si>
  <si>
    <t xml:space="preserve">Godrej Cabinet </t>
  </si>
  <si>
    <t>Golf Equipments</t>
  </si>
  <si>
    <t>Golf Furniture</t>
  </si>
  <si>
    <t>Hair Dresser Tools</t>
  </si>
  <si>
    <t>Hard Disk</t>
  </si>
  <si>
    <t>Health Club Equipment</t>
  </si>
  <si>
    <t>Health Club Furniture</t>
  </si>
  <si>
    <t>Ice Cube Machine</t>
  </si>
  <si>
    <t>Intex Sub Woofer</t>
  </si>
  <si>
    <t>Jungle Jim</t>
  </si>
  <si>
    <t>Kent Ozone Air Purified</t>
  </si>
  <si>
    <t>Kick Board (Swimming)</t>
  </si>
  <si>
    <t>Laptop (HP)</t>
  </si>
  <si>
    <t>Lawn Mower (Toro)</t>
  </si>
  <si>
    <t>Leaf Collector</t>
  </si>
  <si>
    <t>Led Board</t>
  </si>
  <si>
    <t>LG 55 inch LED TV</t>
  </si>
  <si>
    <t>LG Song Star</t>
  </si>
  <si>
    <t>Library Furniture</t>
  </si>
  <si>
    <t>Library Software</t>
  </si>
  <si>
    <t>Lighting System</t>
  </si>
  <si>
    <t>Looking Mirror</t>
  </si>
  <si>
    <t>Mic</t>
  </si>
  <si>
    <t>Microwave</t>
  </si>
  <si>
    <t>Mixer Grinder</t>
  </si>
  <si>
    <t>Mopper</t>
  </si>
  <si>
    <t>Music System</t>
  </si>
  <si>
    <t>Musical Instrument</t>
  </si>
  <si>
    <t>Name Board</t>
  </si>
  <si>
    <t>Office Furniture</t>
  </si>
  <si>
    <t>Painting</t>
  </si>
  <si>
    <t>Plastic Moulded Chair</t>
  </si>
  <si>
    <t>Podium</t>
  </si>
  <si>
    <t>Power Lawn Mower</t>
  </si>
  <si>
    <t>Projector</t>
  </si>
  <si>
    <t>Projecting Lenses</t>
  </si>
  <si>
    <t xml:space="preserve">Refrigrator </t>
  </si>
  <si>
    <t>Saloon Chair &amp; Tools</t>
  </si>
  <si>
    <t>Service Trolley</t>
  </si>
  <si>
    <t>Sony LED TV</t>
  </si>
  <si>
    <t>Sony Projector</t>
  </si>
  <si>
    <t>Squash Furniture</t>
  </si>
  <si>
    <t>Squash Racket</t>
  </si>
  <si>
    <t>Squash Wooden Flooring</t>
  </si>
  <si>
    <t>Steel Book Shelves</t>
  </si>
  <si>
    <t>Suction Sweeper Pump</t>
  </si>
  <si>
    <t>Swimming Equipment</t>
  </si>
  <si>
    <t>computer</t>
  </si>
  <si>
    <t>Swimming Pool Ladder</t>
  </si>
  <si>
    <t>Swimming Pool Shower</t>
  </si>
  <si>
    <t>Synthetic Carpet &amp; Hard Court (Badminton)</t>
  </si>
  <si>
    <t>Synthetic Carpet (Billiard)</t>
  </si>
  <si>
    <t>Synthetic Carpet (Conference Room)</t>
  </si>
  <si>
    <t>Table Tennis Board</t>
  </si>
  <si>
    <t>Tally ERP 9 Software</t>
  </si>
  <si>
    <t>Tennis Court</t>
  </si>
  <si>
    <t>Tennis Furniture</t>
  </si>
  <si>
    <t>Tennis Net &amp; Screen</t>
  </si>
  <si>
    <t>Tennis Sponge Mopper</t>
  </si>
  <si>
    <t>Tennis Water Pusher</t>
  </si>
  <si>
    <t>Umbrella</t>
  </si>
  <si>
    <t>Vacuum Cleaner</t>
  </si>
  <si>
    <t>Venetian  Blinds</t>
  </si>
  <si>
    <t>Wall Paper (bar)</t>
  </si>
  <si>
    <t>Washing Machine</t>
  </si>
  <si>
    <t>Weighing Machine</t>
  </si>
  <si>
    <t>Wooden Stool</t>
  </si>
  <si>
    <t>GRAND TOTAL</t>
  </si>
  <si>
    <t>SCHEDULE -11</t>
  </si>
  <si>
    <t>INVESTMENT :-</t>
  </si>
  <si>
    <t>(i) LIC Group Gratuity</t>
  </si>
  <si>
    <t>SL.No</t>
  </si>
  <si>
    <t>Add : Interest Credit</t>
  </si>
  <si>
    <t>Closing Balance</t>
  </si>
  <si>
    <t>SCHEDULE -12</t>
  </si>
  <si>
    <t>SUNDRY DEBTORS :-</t>
  </si>
  <si>
    <t xml:space="preserve">( i ) AFFILIATED CLUB </t>
  </si>
  <si>
    <t>Disang Club</t>
  </si>
  <si>
    <t xml:space="preserve">Digboi Club </t>
  </si>
  <si>
    <t>Narangi Club</t>
  </si>
  <si>
    <t>SCHEDULE -13</t>
  </si>
  <si>
    <t>( ii ) NON OIL MEMBERS :</t>
  </si>
  <si>
    <t xml:space="preserve"> Mr. B.G Bhupen</t>
  </si>
  <si>
    <t xml:space="preserve"> Mr. Sandeep Kr Sinha</t>
  </si>
  <si>
    <t>Mr. Adhip Agarwal</t>
  </si>
  <si>
    <t>Mr. B.P Bakshi</t>
  </si>
  <si>
    <t>Mr. J L Shekhar</t>
  </si>
  <si>
    <t>Mr. Jagbir Singh</t>
  </si>
  <si>
    <t>Mr. KK Rao</t>
  </si>
  <si>
    <t>Mr. M Suvashree</t>
  </si>
  <si>
    <t>Mr. Maqsood Ali</t>
  </si>
  <si>
    <t>Mr. Navin Singh</t>
  </si>
  <si>
    <t>Mr. Puneet Kanwar Singh</t>
  </si>
  <si>
    <t>Mr. R.G.Mody</t>
  </si>
  <si>
    <t>Mr. Sayed Yousuf Sheikh</t>
  </si>
  <si>
    <t>Mr. Shramjit Gupta</t>
  </si>
  <si>
    <t>Mr. Sudhir Kumar</t>
  </si>
  <si>
    <t>Mr. T Vishal</t>
  </si>
  <si>
    <t>Mr. Yogesh mehta</t>
  </si>
  <si>
    <t>SCHEDULE -14</t>
  </si>
  <si>
    <t>( iii ) Others :</t>
  </si>
  <si>
    <t>Particulrs</t>
  </si>
  <si>
    <t>Outstanding Membership Fee</t>
  </si>
  <si>
    <t>Entertainment Sec</t>
  </si>
  <si>
    <t>Mohit Enterprises</t>
  </si>
  <si>
    <t>OIEEA</t>
  </si>
  <si>
    <t>TATA Motors</t>
  </si>
  <si>
    <t>United Spirits</t>
  </si>
  <si>
    <t>Ladies Club</t>
  </si>
  <si>
    <t>VAT (Sales Tax Dept)</t>
  </si>
  <si>
    <t>SCHEDULE -15</t>
  </si>
  <si>
    <t>( iv ) OIL INDIA LIMITED :</t>
  </si>
  <si>
    <t xml:space="preserve">OIL INDIA LIMITED </t>
  </si>
  <si>
    <t>SCHEDULE -16</t>
  </si>
  <si>
    <t>STAFF LOAN &amp; ADVANCES :-</t>
  </si>
  <si>
    <t>Club Staff (Loan &amp; Advances)</t>
  </si>
  <si>
    <t>Annex Staff  (Loan &amp; Advances )</t>
  </si>
  <si>
    <t>SCHEDULE -17</t>
  </si>
  <si>
    <t>(ii) Vendors/Convenors:(Advance)</t>
  </si>
  <si>
    <t>Bitu Bikram Borah</t>
  </si>
  <si>
    <t>Mega Nite</t>
  </si>
  <si>
    <t>SCHEDULE -18</t>
  </si>
  <si>
    <t>(ii) Prepaid Card:(Advance)</t>
  </si>
  <si>
    <t>GS Card</t>
  </si>
  <si>
    <t>Golf Sec Card</t>
  </si>
  <si>
    <t>Accountant Card</t>
  </si>
  <si>
    <t>Annexe Manager Card</t>
  </si>
  <si>
    <t>Ent Sec Card</t>
  </si>
  <si>
    <t>Bar Sec</t>
  </si>
  <si>
    <t>( iv )  Debtors</t>
  </si>
  <si>
    <t>REGISTERED UNDER SOCIETY ACT XXI OF 1860</t>
  </si>
  <si>
    <t>CASH FLOW STATEMENT FOR THE YEAR ENDED 31st MARCH,2018</t>
  </si>
  <si>
    <t>Cash Flow Statement (Indirect Method)</t>
  </si>
  <si>
    <t>As at</t>
  </si>
  <si>
    <t>March 31, 2019
(Rupees)</t>
  </si>
  <si>
    <t>A</t>
  </si>
  <si>
    <t>CASH FLOW FROM OPERATING ACTIVITIES</t>
  </si>
  <si>
    <t>Net surplus/(deficit) for the year (before tax)</t>
  </si>
  <si>
    <t>Adjustments for:</t>
  </si>
  <si>
    <t>Add/Less: Non cash and non operating items which have already debited to I &amp; Exp A/c</t>
  </si>
  <si>
    <t>Depreciation &amp; Amortization</t>
  </si>
  <si>
    <t>Deferred Revenue Expenditure</t>
  </si>
  <si>
    <t>Provision for Tax</t>
  </si>
  <si>
    <t>(Profit)/loss on sale of Assets</t>
  </si>
  <si>
    <t>Income from Investment</t>
  </si>
  <si>
    <t>Interest &amp; Finance Charges</t>
  </si>
  <si>
    <t>Interest income</t>
  </si>
  <si>
    <t>Provision for Bad &amp; Doubtful Debts (Net)</t>
  </si>
  <si>
    <t>Provision for Gratuity</t>
  </si>
  <si>
    <t>Operating Profit before Working Capital Changes</t>
  </si>
  <si>
    <t>Decrease/(Increase) in Sundry Debtors</t>
  </si>
  <si>
    <t>Decrease/(Increase) in Loans &amp; Advances</t>
  </si>
  <si>
    <t>Decrease/(Increase) in Inventories</t>
  </si>
  <si>
    <t>(Decrease)/Increase in Provisions</t>
  </si>
  <si>
    <t>(Decrease)/Increase in Sundry Creditors</t>
  </si>
  <si>
    <t>Cash generated from operations</t>
  </si>
  <si>
    <t>Income Tax paid</t>
  </si>
  <si>
    <t>Net Cash flow from Operating activities</t>
  </si>
  <si>
    <t>B</t>
  </si>
  <si>
    <t>CASH FLOW FROM INVESTING ACTIVITIES</t>
  </si>
  <si>
    <t>Purchase of Fixed Assets</t>
  </si>
  <si>
    <t>Sale of Fixed Assets</t>
  </si>
  <si>
    <t>Purchase of other investment LIC</t>
  </si>
  <si>
    <t>Net Cash used in Investing activities</t>
  </si>
  <si>
    <t>C</t>
  </si>
  <si>
    <t>CASH FLOW FROM FINANCING ACTIVITIES</t>
  </si>
  <si>
    <t>Proceeds from Long term Borrowings</t>
  </si>
  <si>
    <t>Interest paid</t>
  </si>
  <si>
    <t>Net Cash used in financing activities</t>
  </si>
  <si>
    <t>Net increase/(decrease) in cash &amp; Cash Equivalents</t>
  </si>
  <si>
    <t>Cash and Cash equivalents as at 01.04.2018</t>
  </si>
  <si>
    <t>Cash and Cash equivalents as at 31.03.2019</t>
  </si>
  <si>
    <t>Cash &amp; Cash Equivalents</t>
  </si>
  <si>
    <t>As on</t>
  </si>
  <si>
    <t>March 31, 2018
(Rupees)</t>
  </si>
  <si>
    <t>Cash in Hand</t>
  </si>
  <si>
    <t>Cash at Bank</t>
  </si>
  <si>
    <t>Cash &amp; Cash equivalents as stated</t>
  </si>
  <si>
    <t>Cash Flow Statement (Direct method)</t>
  </si>
  <si>
    <t>Cash receipts from Annexe</t>
  </si>
  <si>
    <t>Cash receipts from Members</t>
  </si>
  <si>
    <t>Cash receipts from OIL</t>
  </si>
  <si>
    <t>Cash receipts from Bar</t>
  </si>
  <si>
    <t>Misc Income</t>
  </si>
  <si>
    <t>Cash paid to suppliers</t>
  </si>
  <si>
    <t>Cash paid to employees</t>
  </si>
  <si>
    <t>Cash generated from operation</t>
  </si>
  <si>
    <t>Net Cash from Investing activities</t>
  </si>
</sst>
</file>

<file path=xl/styles.xml><?xml version="1.0" encoding="utf-8"?>
<styleSheet xmlns="http://schemas.openxmlformats.org/spreadsheetml/2006/main">
  <numFmts count="13">
    <numFmt numFmtId="43" formatCode="_(* #,##0.00_);_(* \(#,##0.00\);_(* &quot;-&quot;??_);_(@_)"/>
    <numFmt numFmtId="164" formatCode="_-* #,##0.00_-;\-* #,##0.00_-;_-* &quot;-&quot;??_-;_-@_-"/>
    <numFmt numFmtId="165" formatCode="&quot;₹&quot;#,##0;[Red]&quot;₹&quot;\-#,##0"/>
    <numFmt numFmtId="166" formatCode="_ &quot;₹&quot;* #,##0.00_ ;_ &quot;₹&quot;* \-#,##0.00_ ;_ &quot;₹&quot;* &quot;-&quot;??_ ;_ @_ "/>
    <numFmt numFmtId="167" formatCode="_(* #,##0_);_(* \(#,##0\);_(* &quot;-&quot;??_);_(@_)"/>
    <numFmt numFmtId="168" formatCode="_-* #,##0_-;\-* #,##0_-;_-* &quot;-&quot;??_-;_-@_-"/>
    <numFmt numFmtId="169" formatCode="_ * #,##0.00_ ;_ * \-#,##0.00_ ;_ * &quot;-&quot;??_ ;_ @_ "/>
    <numFmt numFmtId="170" formatCode="0.0%_);\-0.0%_);"/>
    <numFmt numFmtId="171" formatCode="&quot;Rs.&quot;\ #,##0;&quot;Rs.&quot;\ \-#,##0"/>
    <numFmt numFmtId="172" formatCode="0_);\-0_)"/>
    <numFmt numFmtId="173" formatCode="_ * #,##0_ ;_ * \-#,##0_ ;_ * &quot;-&quot;??_ ;_ @_ "/>
    <numFmt numFmtId="174" formatCode="_ * #,##0_ ;_ * \-#,##0_ ;_ * &quot;-&quot;_ ;_ @_ "/>
    <numFmt numFmtId="175" formatCode="_(* #,##0_);_(* \(#,##0\);_(* \-??_);_(@_)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Arial"/>
      <family val="2"/>
    </font>
    <font>
      <sz val="75"/>
      <name val="Calibri"/>
      <family val="2"/>
      <scheme val="minor"/>
    </font>
    <font>
      <b/>
      <sz val="145"/>
      <color theme="1"/>
      <name val="Bookman Old Style"/>
      <family val="1"/>
    </font>
    <font>
      <b/>
      <sz val="100"/>
      <color theme="1"/>
      <name val="Calibri"/>
      <family val="2"/>
      <scheme val="minor"/>
    </font>
    <font>
      <b/>
      <i/>
      <sz val="75"/>
      <color indexed="9"/>
      <name val="Calibri"/>
      <family val="2"/>
      <scheme val="minor"/>
    </font>
    <font>
      <b/>
      <sz val="75"/>
      <name val="Calibri"/>
      <family val="2"/>
      <scheme val="minor"/>
    </font>
    <font>
      <b/>
      <u/>
      <sz val="75"/>
      <name val="Calibri"/>
      <family val="2"/>
      <scheme val="minor"/>
    </font>
    <font>
      <b/>
      <sz val="75"/>
      <color theme="0"/>
      <name val="Calibri"/>
      <family val="2"/>
      <scheme val="minor"/>
    </font>
    <font>
      <b/>
      <sz val="75"/>
      <color theme="0"/>
      <name val="Rupee Foradian"/>
      <family val="2"/>
    </font>
    <font>
      <b/>
      <i/>
      <sz val="75"/>
      <name val="Calibri"/>
      <family val="2"/>
      <scheme val="minor"/>
    </font>
    <font>
      <sz val="50"/>
      <name val="Calibri"/>
      <family val="2"/>
      <scheme val="minor"/>
    </font>
    <font>
      <b/>
      <sz val="75"/>
      <color rgb="FFFF0000"/>
      <name val="Calibri"/>
      <family val="2"/>
      <scheme val="minor"/>
    </font>
    <font>
      <sz val="86"/>
      <name val="Calibri"/>
      <family val="2"/>
      <scheme val="minor"/>
    </font>
    <font>
      <sz val="65"/>
      <name val="Calibri"/>
      <family val="2"/>
      <scheme val="minor"/>
    </font>
    <font>
      <b/>
      <sz val="65"/>
      <name val="Calibri"/>
      <family val="2"/>
      <scheme val="minor"/>
    </font>
    <font>
      <sz val="11"/>
      <color indexed="8"/>
      <name val="Calibri"/>
      <family val="2"/>
    </font>
    <font>
      <sz val="10"/>
      <color theme="1" tint="0.14996795556505021"/>
      <name val="Calibri"/>
      <family val="2"/>
      <scheme val="minor"/>
    </font>
    <font>
      <sz val="11"/>
      <color theme="1" tint="0.14975432599871821"/>
      <name val="Cambria"/>
      <family val="2"/>
      <scheme val="major"/>
    </font>
    <font>
      <sz val="11"/>
      <color theme="1" tint="0.14990691854609822"/>
      <name val="Cambria"/>
      <family val="2"/>
      <scheme val="major"/>
    </font>
    <font>
      <b/>
      <sz val="28"/>
      <color theme="4"/>
      <name val="Cambria"/>
      <family val="2"/>
      <scheme val="major"/>
    </font>
    <font>
      <sz val="10"/>
      <color theme="1" tint="0.14999847407452621"/>
      <name val="Calibri"/>
      <family val="2"/>
      <scheme val="minor"/>
    </font>
    <font>
      <sz val="12"/>
      <name val="Cambria"/>
      <family val="1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name val="Calibri"/>
      <family val="2"/>
      <scheme val="minor"/>
    </font>
    <font>
      <sz val="60"/>
      <name val="Cambria"/>
      <family val="1"/>
    </font>
    <font>
      <b/>
      <sz val="100"/>
      <color theme="1"/>
      <name val="Old English Text MT"/>
      <family val="4"/>
    </font>
    <font>
      <sz val="60"/>
      <name val="Calibri"/>
      <family val="2"/>
      <scheme val="minor"/>
    </font>
    <font>
      <b/>
      <sz val="65"/>
      <color theme="1"/>
      <name val="Old English Text MT"/>
      <family val="4"/>
    </font>
    <font>
      <b/>
      <i/>
      <sz val="48"/>
      <color indexed="9"/>
      <name val="Cambria"/>
      <family val="1"/>
    </font>
    <font>
      <b/>
      <sz val="75"/>
      <color theme="1"/>
      <name val="Calibri"/>
      <family val="2"/>
      <scheme val="minor"/>
    </font>
    <font>
      <b/>
      <i/>
      <sz val="48"/>
      <color indexed="9"/>
      <name val="Calibri"/>
      <family val="2"/>
      <scheme val="minor"/>
    </font>
    <font>
      <b/>
      <i/>
      <sz val="24"/>
      <color indexed="9"/>
      <name val="Calibri"/>
      <family val="2"/>
      <scheme val="minor"/>
    </font>
    <font>
      <b/>
      <sz val="60"/>
      <color theme="1"/>
      <name val="Calibri"/>
      <family val="2"/>
      <scheme val="minor"/>
    </font>
    <font>
      <b/>
      <sz val="45"/>
      <name val="Calibri"/>
      <family val="2"/>
      <scheme val="minor"/>
    </font>
    <font>
      <b/>
      <sz val="36"/>
      <name val="Calibri"/>
      <family val="2"/>
      <scheme val="minor"/>
    </font>
    <font>
      <b/>
      <sz val="50"/>
      <name val="Calibri"/>
      <family val="2"/>
      <scheme val="minor"/>
    </font>
    <font>
      <b/>
      <sz val="5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60"/>
      <color theme="0"/>
      <name val="Rupee Foradian"/>
      <family val="2"/>
    </font>
    <font>
      <b/>
      <sz val="60"/>
      <color theme="0"/>
      <name val="Calibri"/>
      <family val="2"/>
      <scheme val="minor"/>
    </font>
    <font>
      <i/>
      <sz val="60"/>
      <color theme="0"/>
      <name val="Calibri"/>
      <family val="2"/>
      <scheme val="minor"/>
    </font>
    <font>
      <sz val="14"/>
      <color indexed="10"/>
      <name val="Calibri"/>
      <family val="2"/>
      <scheme val="minor"/>
    </font>
    <font>
      <sz val="9"/>
      <name val="Cambria"/>
      <family val="1"/>
    </font>
    <font>
      <sz val="48"/>
      <name val="Calibri"/>
      <family val="2"/>
      <scheme val="minor"/>
    </font>
    <font>
      <sz val="28"/>
      <name val="Calibri"/>
      <family val="2"/>
      <scheme val="minor"/>
    </font>
    <font>
      <sz val="45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48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mbria"/>
      <family val="1"/>
    </font>
    <font>
      <b/>
      <sz val="2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name val="Calibri"/>
      <family val="2"/>
      <scheme val="minor"/>
    </font>
    <font>
      <b/>
      <sz val="24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0"/>
      <name val="Calibri"/>
      <family val="2"/>
      <scheme val="minor"/>
    </font>
    <font>
      <b/>
      <sz val="40"/>
      <color theme="1"/>
      <name val="Calibri"/>
      <family val="2"/>
      <scheme val="minor"/>
    </font>
    <font>
      <b/>
      <i/>
      <sz val="44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60"/>
      <name val="Calibri"/>
      <family val="2"/>
      <scheme val="minor"/>
    </font>
    <font>
      <sz val="60"/>
      <color theme="0"/>
      <name val="Calibri"/>
      <family val="2"/>
      <scheme val="minor"/>
    </font>
    <font>
      <b/>
      <sz val="55"/>
      <color theme="1" tint="4.9989318521683403E-2"/>
      <name val="Calibri"/>
      <family val="2"/>
      <scheme val="minor"/>
    </font>
    <font>
      <b/>
      <sz val="42"/>
      <name val="Calibri"/>
      <family val="2"/>
      <scheme val="minor"/>
    </font>
    <font>
      <b/>
      <i/>
      <sz val="42"/>
      <name val="Calibri"/>
      <family val="2"/>
      <scheme val="minor"/>
    </font>
    <font>
      <b/>
      <sz val="44"/>
      <name val="Calibri"/>
      <family val="2"/>
      <scheme val="minor"/>
    </font>
    <font>
      <b/>
      <i/>
      <sz val="50"/>
      <name val="Calibri"/>
      <family val="2"/>
      <scheme val="minor"/>
    </font>
    <font>
      <b/>
      <sz val="44"/>
      <color theme="1"/>
      <name val="Calibri"/>
      <family val="2"/>
      <scheme val="minor"/>
    </font>
    <font>
      <sz val="44"/>
      <name val="Calibri"/>
      <family val="2"/>
      <scheme val="minor"/>
    </font>
    <font>
      <sz val="44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60"/>
      <name val="Rupee Foradian"/>
      <family val="2"/>
    </font>
    <font>
      <sz val="14"/>
      <name val="Calibri"/>
      <family val="2"/>
      <scheme val="minor"/>
    </font>
    <font>
      <sz val="25"/>
      <name val="Calibri"/>
      <family val="2"/>
      <scheme val="minor"/>
    </font>
    <font>
      <b/>
      <sz val="45"/>
      <color theme="1"/>
      <name val="Calibri"/>
      <family val="2"/>
      <scheme val="minor"/>
    </font>
    <font>
      <sz val="50"/>
      <color theme="1"/>
      <name val="Calibri"/>
      <family val="2"/>
      <scheme val="minor"/>
    </font>
    <font>
      <sz val="45"/>
      <color theme="1"/>
      <name val="Calibri"/>
      <family val="2"/>
      <scheme val="minor"/>
    </font>
    <font>
      <b/>
      <sz val="50"/>
      <color theme="1" tint="4.9989318521683403E-2"/>
      <name val="Calibri"/>
      <family val="2"/>
      <scheme val="minor"/>
    </font>
    <font>
      <b/>
      <sz val="45"/>
      <color theme="1" tint="4.9989318521683403E-2"/>
      <name val="Calibri"/>
      <family val="2"/>
      <scheme val="minor"/>
    </font>
    <font>
      <sz val="40"/>
      <name val="Calibri"/>
      <family val="2"/>
      <scheme val="minor"/>
    </font>
    <font>
      <sz val="45"/>
      <name val="Cambria"/>
      <family val="1"/>
    </font>
    <font>
      <b/>
      <sz val="42"/>
      <name val="Cambria"/>
      <family val="1"/>
    </font>
    <font>
      <b/>
      <sz val="40"/>
      <name val="Cambria"/>
      <family val="1"/>
    </font>
    <font>
      <b/>
      <sz val="54"/>
      <name val="Calibri"/>
      <family val="2"/>
      <scheme val="minor"/>
    </font>
    <font>
      <sz val="55"/>
      <name val="Cambria"/>
      <family val="1"/>
    </font>
    <font>
      <sz val="55"/>
      <name val="Calibri"/>
      <family val="2"/>
      <scheme val="minor"/>
    </font>
    <font>
      <b/>
      <sz val="55"/>
      <name val="Calibri"/>
      <family val="2"/>
      <scheme val="minor"/>
    </font>
    <font>
      <sz val="16"/>
      <name val="Cambria"/>
      <family val="1"/>
    </font>
    <font>
      <sz val="16"/>
      <name val="Calibri"/>
      <family val="2"/>
      <scheme val="minor"/>
    </font>
    <font>
      <b/>
      <u/>
      <sz val="32"/>
      <name val="Bookman Old Style"/>
      <family val="1"/>
    </font>
    <font>
      <sz val="14"/>
      <name val="Arial"/>
      <family val="2"/>
    </font>
    <font>
      <b/>
      <sz val="16"/>
      <name val="Rupee Foradian"/>
      <family val="2"/>
    </font>
    <font>
      <b/>
      <sz val="14"/>
      <name val="Rupee Foradian"/>
      <family val="2"/>
    </font>
    <font>
      <sz val="12"/>
      <name val="Rupee Foradian"/>
      <family val="2"/>
    </font>
    <font>
      <sz val="10"/>
      <name val="Rupee Foradian"/>
      <family val="2"/>
    </font>
    <font>
      <b/>
      <sz val="16"/>
      <color theme="0"/>
      <name val="Rupee Foradian"/>
      <family val="2"/>
    </font>
    <font>
      <b/>
      <sz val="14"/>
      <color theme="0"/>
      <name val="Rupee Foradian"/>
      <family val="2"/>
    </font>
    <font>
      <sz val="12"/>
      <color theme="0"/>
      <name val="Rupee Foradian"/>
      <family val="2"/>
    </font>
    <font>
      <sz val="10"/>
      <color theme="0"/>
      <name val="Rupee Foradian"/>
      <family val="2"/>
    </font>
    <font>
      <sz val="12"/>
      <color theme="0" tint="-0.34998626667073579"/>
      <name val="Rupee Foradian"/>
      <family val="2"/>
    </font>
    <font>
      <sz val="10"/>
      <color theme="0" tint="-0.34998626667073579"/>
      <name val="Rupee Foradian"/>
      <family val="2"/>
    </font>
    <font>
      <sz val="14"/>
      <name val="Rupee Foradian"/>
      <family val="2"/>
    </font>
    <font>
      <b/>
      <sz val="12"/>
      <name val="Rupee Foradian"/>
      <family val="2"/>
    </font>
    <font>
      <sz val="16"/>
      <color theme="0"/>
      <name val="Rupee Foradian"/>
      <family val="2"/>
    </font>
    <font>
      <sz val="16"/>
      <name val="Arial"/>
      <family val="2"/>
    </font>
    <font>
      <sz val="16"/>
      <name val="Rupee Foradian"/>
      <family val="2"/>
    </font>
    <font>
      <b/>
      <u/>
      <sz val="36"/>
      <name val="Bookman Old Style"/>
      <family val="1"/>
    </font>
    <font>
      <sz val="11"/>
      <name val="Rupee Foradian"/>
      <family val="2"/>
    </font>
    <font>
      <b/>
      <sz val="11"/>
      <name val="Rupee Foradian"/>
      <family val="2"/>
    </font>
    <font>
      <b/>
      <sz val="16"/>
      <color theme="1"/>
      <name val="Cambria"/>
      <family val="1"/>
      <scheme val="major"/>
    </font>
    <font>
      <sz val="16"/>
      <color theme="0"/>
      <name val="Arial"/>
      <family val="2"/>
    </font>
    <font>
      <b/>
      <sz val="16"/>
      <name val="Cambria"/>
      <family val="1"/>
      <scheme val="major"/>
    </font>
    <font>
      <sz val="11"/>
      <name val="Arial"/>
      <family val="2"/>
    </font>
    <font>
      <b/>
      <sz val="15"/>
      <name val="Rupee Foradian"/>
      <family val="2"/>
    </font>
    <font>
      <b/>
      <sz val="14"/>
      <name val="Cambria"/>
      <family val="1"/>
      <scheme val="major"/>
    </font>
    <font>
      <sz val="15"/>
      <name val="Rupee Foradian"/>
      <family val="2"/>
    </font>
    <font>
      <sz val="15"/>
      <name val="Arial"/>
      <family val="2"/>
    </font>
    <font>
      <b/>
      <sz val="72"/>
      <name val="Old English Text MT"/>
      <family val="4"/>
    </font>
    <font>
      <sz val="22"/>
      <name val="Cambria"/>
      <family val="1"/>
      <scheme val="major"/>
    </font>
    <font>
      <b/>
      <sz val="36"/>
      <name val="Old English Text MT"/>
      <family val="4"/>
    </font>
    <font>
      <b/>
      <sz val="25"/>
      <name val="Rupee Foradian"/>
      <family val="2"/>
    </font>
    <font>
      <b/>
      <u/>
      <sz val="26"/>
      <name val="Rupee Foradian"/>
      <family val="2"/>
    </font>
    <font>
      <b/>
      <sz val="30"/>
      <color theme="0"/>
      <name val="Rupee Foradian"/>
      <family val="2"/>
    </font>
    <font>
      <b/>
      <u/>
      <sz val="30"/>
      <name val="Rupee Foradian"/>
      <family val="2"/>
    </font>
    <font>
      <sz val="30"/>
      <name val="Cambria"/>
      <family val="1"/>
      <scheme val="major"/>
    </font>
    <font>
      <b/>
      <u/>
      <sz val="28"/>
      <name val="Rupee Foradian"/>
      <family val="2"/>
    </font>
    <font>
      <b/>
      <sz val="20"/>
      <name val="Rupee Foradian"/>
      <family val="2"/>
    </font>
    <font>
      <b/>
      <sz val="22"/>
      <name val="Rupee Foradian"/>
      <family val="2"/>
    </font>
    <font>
      <b/>
      <sz val="24"/>
      <name val="Cambria"/>
      <family val="1"/>
      <scheme val="major"/>
    </font>
    <font>
      <sz val="20"/>
      <name val="Rupee Foradian"/>
      <family val="2"/>
    </font>
    <font>
      <sz val="22"/>
      <name val="Rupee Foradian"/>
      <family val="2"/>
    </font>
    <font>
      <sz val="20"/>
      <name val="Cambria"/>
      <family val="1"/>
      <scheme val="major"/>
    </font>
    <font>
      <b/>
      <sz val="20"/>
      <name val="Cambria"/>
      <family val="1"/>
      <scheme val="major"/>
    </font>
    <font>
      <b/>
      <u/>
      <sz val="36"/>
      <name val="Rupee Foradian"/>
      <family val="2"/>
    </font>
    <font>
      <b/>
      <sz val="10"/>
      <name val="Rupee Foradian"/>
      <family val="2"/>
    </font>
    <font>
      <sz val="10"/>
      <name val="Cambria"/>
      <family val="1"/>
      <scheme val="major"/>
    </font>
    <font>
      <b/>
      <sz val="36"/>
      <name val="Bookman Old Style"/>
      <family val="1"/>
    </font>
    <font>
      <sz val="12"/>
      <name val="Arial"/>
      <family val="2"/>
    </font>
    <font>
      <b/>
      <sz val="14"/>
      <color theme="1"/>
      <name val="Cambria"/>
      <family val="1"/>
      <scheme val="major"/>
    </font>
    <font>
      <sz val="14"/>
      <color theme="0"/>
      <name val="Rupee Foradian"/>
      <family val="2"/>
    </font>
    <font>
      <sz val="14"/>
      <color theme="0"/>
      <name val="Arial"/>
      <family val="2"/>
    </font>
    <font>
      <b/>
      <sz val="14"/>
      <color theme="0"/>
      <name val="Batang"/>
      <family val="1"/>
    </font>
    <font>
      <sz val="20"/>
      <name val="Arial"/>
      <family val="2"/>
    </font>
    <font>
      <sz val="14"/>
      <name val="Times New Roman"/>
      <family val="1"/>
    </font>
    <font>
      <b/>
      <sz val="36"/>
      <color theme="1"/>
      <name val="Old English Text MT"/>
      <family val="4"/>
    </font>
    <font>
      <sz val="10"/>
      <name val="Arial"/>
    </font>
    <font>
      <sz val="12"/>
      <name val="Trebuchet MS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b/>
      <sz val="11"/>
      <color theme="0"/>
      <name val="Verdana"/>
      <family val="2"/>
    </font>
    <font>
      <b/>
      <sz val="11"/>
      <color theme="0"/>
      <name val="Trebuchet MS"/>
      <family val="2"/>
    </font>
    <font>
      <b/>
      <sz val="11"/>
      <name val="Trebuchet MS"/>
      <family val="2"/>
    </font>
    <font>
      <sz val="10"/>
      <name val="Verdana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sz val="9"/>
      <name val="Verdana"/>
      <family val="2"/>
    </font>
    <font>
      <sz val="7"/>
      <name val="Verdana"/>
      <family val="2"/>
    </font>
    <font>
      <sz val="10"/>
      <color indexed="10"/>
      <name val="Trebuchet MS"/>
      <family val="2"/>
    </font>
    <font>
      <b/>
      <i/>
      <sz val="10"/>
      <name val="Sitka Small"/>
    </font>
    <font>
      <sz val="11"/>
      <color theme="0"/>
      <name val="Trebuchet MS"/>
      <family val="2"/>
    </font>
    <font>
      <sz val="11"/>
      <name val="Trebuchet MS"/>
      <family val="2"/>
    </font>
    <font>
      <b/>
      <sz val="14"/>
      <name val="Verdana"/>
      <family val="2"/>
    </font>
    <font>
      <b/>
      <sz val="8"/>
      <name val="Verdana"/>
      <family val="2"/>
    </font>
    <font>
      <sz val="12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thick">
        <color theme="4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4" tint="0.3999450666829432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8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1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5">
      <alignment horizontal="right" vertical="center" wrapText="1" indent="1"/>
    </xf>
    <xf numFmtId="0" fontId="3" fillId="0" borderId="0"/>
    <xf numFmtId="0" fontId="3" fillId="0" borderId="0"/>
    <xf numFmtId="0" fontId="19" fillId="0" borderId="0">
      <alignment vertical="center"/>
    </xf>
    <xf numFmtId="0" fontId="22" fillId="0" borderId="0" applyNumberFormat="0" applyFill="0" applyBorder="0" applyAlignment="0" applyProtection="0"/>
    <xf numFmtId="172" fontId="23" fillId="4" borderId="16" applyFont="0" applyAlignment="0">
      <alignment vertical="center"/>
    </xf>
    <xf numFmtId="0" fontId="151" fillId="0" borderId="0"/>
    <xf numFmtId="43" fontId="1" fillId="0" borderId="0" applyFont="0" applyFill="0" applyBorder="0" applyAlignment="0" applyProtection="0"/>
    <xf numFmtId="43" fontId="151" fillId="0" borderId="0" applyFont="0" applyFill="0" applyBorder="0" applyAlignment="0" applyProtection="0"/>
  </cellStyleXfs>
  <cellXfs count="943">
    <xf numFmtId="0" fontId="0" fillId="0" borderId="0" xfId="0"/>
    <xf numFmtId="0" fontId="4" fillId="0" borderId="0" xfId="2" applyFont="1" applyProtection="1">
      <protection locked="0" hidden="1"/>
    </xf>
    <xf numFmtId="0" fontId="4" fillId="0" borderId="0" xfId="2" applyFont="1" applyFill="1" applyProtection="1">
      <protection locked="0" hidden="1"/>
    </xf>
    <xf numFmtId="0" fontId="4" fillId="0" borderId="0" xfId="2" applyFont="1" applyFill="1" applyAlignment="1" applyProtection="1">
      <alignment horizontal="right"/>
      <protection locked="0" hidden="1"/>
    </xf>
    <xf numFmtId="0" fontId="4" fillId="0" borderId="0" xfId="2" applyFont="1" applyFill="1" applyAlignment="1" applyProtection="1">
      <alignment horizontal="center"/>
      <protection locked="0" hidden="1"/>
    </xf>
    <xf numFmtId="0" fontId="4" fillId="0" borderId="0" xfId="2" applyFont="1" applyBorder="1" applyProtection="1">
      <protection locked="0" hidden="1"/>
    </xf>
    <xf numFmtId="0" fontId="4" fillId="0" borderId="0" xfId="2" applyFont="1" applyFill="1" applyBorder="1" applyProtection="1">
      <protection locked="0" hidden="1"/>
    </xf>
    <xf numFmtId="0" fontId="4" fillId="0" borderId="0" xfId="2" applyFont="1" applyFill="1" applyBorder="1" applyAlignment="1" applyProtection="1">
      <alignment horizontal="right"/>
      <protection locked="0" hidden="1"/>
    </xf>
    <xf numFmtId="0" fontId="4" fillId="0" borderId="0" xfId="2" applyFont="1" applyFill="1" applyBorder="1" applyAlignment="1" applyProtection="1">
      <alignment horizontal="center"/>
      <protection locked="0" hidden="1"/>
    </xf>
    <xf numFmtId="0" fontId="4" fillId="0" borderId="2" xfId="2" applyFont="1" applyFill="1" applyBorder="1" applyAlignment="1" applyProtection="1">
      <alignment horizontal="right"/>
      <protection locked="0" hidden="1"/>
    </xf>
    <xf numFmtId="0" fontId="4" fillId="0" borderId="3" xfId="2" applyFont="1" applyFill="1" applyBorder="1" applyAlignment="1" applyProtection="1">
      <alignment horizontal="right"/>
      <protection locked="0" hidden="1"/>
    </xf>
    <xf numFmtId="0" fontId="4" fillId="0" borderId="3" xfId="2" applyFont="1" applyFill="1" applyBorder="1" applyAlignment="1" applyProtection="1">
      <alignment horizontal="center"/>
      <protection locked="0" hidden="1"/>
    </xf>
    <xf numFmtId="0" fontId="4" fillId="0" borderId="4" xfId="2" applyFont="1" applyFill="1" applyBorder="1" applyProtection="1">
      <protection locked="0" hidden="1"/>
    </xf>
    <xf numFmtId="0" fontId="4" fillId="0" borderId="4" xfId="2" applyFont="1" applyBorder="1" applyProtection="1">
      <protection locked="0" hidden="1"/>
    </xf>
    <xf numFmtId="0" fontId="4" fillId="0" borderId="5" xfId="2" applyFont="1" applyBorder="1" applyProtection="1">
      <protection locked="0" hidden="1"/>
    </xf>
    <xf numFmtId="0" fontId="5" fillId="2" borderId="6" xfId="2" applyFont="1" applyFill="1" applyBorder="1" applyAlignment="1" applyProtection="1">
      <alignment horizontal="center"/>
      <protection hidden="1"/>
    </xf>
    <xf numFmtId="0" fontId="5" fillId="2" borderId="7" xfId="2" applyFont="1" applyFill="1" applyBorder="1" applyAlignment="1" applyProtection="1">
      <alignment horizontal="center"/>
      <protection hidden="1"/>
    </xf>
    <xf numFmtId="0" fontId="5" fillId="2" borderId="8" xfId="2" applyFont="1" applyFill="1" applyBorder="1" applyAlignment="1" applyProtection="1">
      <alignment horizontal="center"/>
      <protection hidden="1"/>
    </xf>
    <xf numFmtId="0" fontId="4" fillId="0" borderId="9" xfId="2" applyFont="1" applyBorder="1" applyProtection="1">
      <protection locked="0" hidden="1"/>
    </xf>
    <xf numFmtId="0" fontId="6" fillId="2" borderId="5" xfId="2" applyFont="1" applyFill="1" applyBorder="1" applyAlignment="1" applyProtection="1">
      <alignment horizontal="center"/>
      <protection hidden="1"/>
    </xf>
    <xf numFmtId="0" fontId="6" fillId="2" borderId="0" xfId="2" applyFont="1" applyFill="1" applyBorder="1" applyAlignment="1" applyProtection="1">
      <alignment horizontal="center"/>
      <protection hidden="1"/>
    </xf>
    <xf numFmtId="0" fontId="6" fillId="2" borderId="9" xfId="2" applyFont="1" applyFill="1" applyBorder="1" applyAlignment="1" applyProtection="1">
      <alignment horizontal="center"/>
      <protection hidden="1"/>
    </xf>
    <xf numFmtId="0" fontId="7" fillId="0" borderId="5" xfId="2" applyFont="1" applyFill="1" applyBorder="1" applyAlignment="1" applyProtection="1">
      <alignment horizontal="center"/>
      <protection locked="0" hidden="1"/>
    </xf>
    <xf numFmtId="0" fontId="6" fillId="2" borderId="5" xfId="2" applyFont="1" applyFill="1" applyBorder="1" applyAlignment="1" applyProtection="1">
      <alignment vertical="center" wrapText="1"/>
      <protection locked="0" hidden="1"/>
    </xf>
    <xf numFmtId="0" fontId="6" fillId="2" borderId="0" xfId="2" applyFont="1" applyFill="1" applyBorder="1" applyAlignment="1">
      <alignment horizontal="center" vertical="center" wrapText="1"/>
    </xf>
    <xf numFmtId="0" fontId="6" fillId="2" borderId="9" xfId="2" applyFont="1" applyFill="1" applyBorder="1" applyAlignment="1" applyProtection="1">
      <alignment vertical="center" wrapText="1"/>
      <protection locked="0" hidden="1"/>
    </xf>
    <xf numFmtId="0" fontId="7" fillId="0" borderId="9" xfId="2" applyFont="1" applyFill="1" applyBorder="1" applyAlignment="1" applyProtection="1">
      <alignment horizontal="center"/>
      <protection locked="0" hidden="1"/>
    </xf>
    <xf numFmtId="0" fontId="7" fillId="0" borderId="0" xfId="2" applyFont="1" applyFill="1" applyBorder="1" applyAlignment="1" applyProtection="1">
      <alignment horizontal="center"/>
      <protection locked="0" hidden="1"/>
    </xf>
    <xf numFmtId="0" fontId="4" fillId="0" borderId="5" xfId="2" applyFont="1" applyFill="1" applyBorder="1" applyAlignment="1" applyProtection="1">
      <alignment horizontal="center"/>
      <protection locked="0" hidden="1"/>
    </xf>
    <xf numFmtId="0" fontId="8" fillId="0" borderId="0" xfId="2" applyFont="1" applyFill="1" applyBorder="1" applyAlignment="1" applyProtection="1">
      <alignment horizontal="center" vertical="center" wrapText="1"/>
      <protection locked="0" hidden="1"/>
    </xf>
    <xf numFmtId="0" fontId="9" fillId="0" borderId="0" xfId="2" applyFont="1" applyFill="1" applyBorder="1" applyAlignment="1" applyProtection="1">
      <alignment horizontal="center" vertical="center" wrapText="1"/>
      <protection locked="0" hidden="1"/>
    </xf>
    <xf numFmtId="0" fontId="4" fillId="0" borderId="9" xfId="2" applyFont="1" applyFill="1" applyBorder="1" applyAlignment="1" applyProtection="1">
      <alignment horizontal="center"/>
      <protection locked="0" hidden="1"/>
    </xf>
    <xf numFmtId="0" fontId="8" fillId="0" borderId="0" xfId="2" applyFont="1" applyFill="1" applyBorder="1" applyAlignment="1" applyProtection="1">
      <alignment vertical="center" wrapText="1"/>
      <protection locked="0" hidden="1"/>
    </xf>
    <xf numFmtId="0" fontId="9" fillId="0" borderId="0" xfId="2" applyFont="1" applyFill="1" applyBorder="1" applyAlignment="1" applyProtection="1">
      <alignment horizontal="center"/>
      <protection locked="0" hidden="1"/>
    </xf>
    <xf numFmtId="0" fontId="4" fillId="0" borderId="5" xfId="2" applyFont="1" applyBorder="1" applyAlignment="1" applyProtection="1">
      <alignment vertical="center"/>
      <protection locked="0" hidden="1"/>
    </xf>
    <xf numFmtId="0" fontId="4" fillId="0" borderId="5" xfId="2" applyFont="1" applyFill="1" applyBorder="1" applyAlignment="1" applyProtection="1">
      <alignment vertical="center"/>
      <protection locked="0" hidden="1"/>
    </xf>
    <xf numFmtId="164" fontId="10" fillId="3" borderId="0" xfId="1" applyFont="1" applyFill="1" applyBorder="1" applyAlignment="1" applyProtection="1">
      <alignment vertical="center"/>
      <protection hidden="1"/>
    </xf>
    <xf numFmtId="0" fontId="10" fillId="3" borderId="0" xfId="2" applyFont="1" applyFill="1" applyBorder="1" applyAlignment="1" applyProtection="1">
      <alignment horizontal="center"/>
      <protection hidden="1"/>
    </xf>
    <xf numFmtId="166" fontId="11" fillId="3" borderId="0" xfId="3" applyNumberFormat="1" applyFont="1" applyFill="1" applyBorder="1" applyAlignment="1" applyProtection="1">
      <alignment horizontal="center" vertical="center"/>
      <protection locked="0" hidden="1"/>
    </xf>
    <xf numFmtId="0" fontId="11" fillId="3" borderId="0" xfId="2" applyFont="1" applyFill="1" applyBorder="1" applyAlignment="1" applyProtection="1">
      <alignment horizontal="center" vertical="center"/>
      <protection hidden="1"/>
    </xf>
    <xf numFmtId="0" fontId="4" fillId="0" borderId="9" xfId="2" applyFont="1" applyFill="1" applyBorder="1" applyAlignment="1" applyProtection="1">
      <alignment vertical="center"/>
      <protection locked="0" hidden="1"/>
    </xf>
    <xf numFmtId="0" fontId="4" fillId="0" borderId="9" xfId="2" applyFont="1" applyBorder="1" applyAlignment="1" applyProtection="1">
      <alignment vertical="center"/>
      <protection locked="0" hidden="1"/>
    </xf>
    <xf numFmtId="0" fontId="4" fillId="0" borderId="0" xfId="2" applyFont="1" applyAlignment="1" applyProtection="1">
      <alignment vertical="center"/>
      <protection locked="0" hidden="1"/>
    </xf>
    <xf numFmtId="0" fontId="4" fillId="0" borderId="5" xfId="2" applyFont="1" applyFill="1" applyBorder="1" applyProtection="1">
      <protection locked="0" hidden="1"/>
    </xf>
    <xf numFmtId="166" fontId="4" fillId="0" borderId="0" xfId="3" applyNumberFormat="1" applyFont="1" applyFill="1" applyBorder="1" applyAlignment="1" applyProtection="1">
      <protection locked="0" hidden="1"/>
    </xf>
    <xf numFmtId="165" fontId="4" fillId="0" borderId="0" xfId="2" applyNumberFormat="1" applyFont="1" applyFill="1" applyBorder="1" applyAlignment="1" applyProtection="1">
      <protection hidden="1"/>
    </xf>
    <xf numFmtId="0" fontId="4" fillId="0" borderId="9" xfId="2" applyFont="1" applyFill="1" applyBorder="1" applyProtection="1">
      <protection locked="0" hidden="1"/>
    </xf>
    <xf numFmtId="3" fontId="9" fillId="0" borderId="0" xfId="2" applyNumberFormat="1" applyFont="1" applyFill="1" applyBorder="1" applyAlignment="1" applyProtection="1">
      <alignment vertical="center" wrapText="1"/>
      <protection hidden="1"/>
    </xf>
    <xf numFmtId="167" fontId="4" fillId="0" borderId="0" xfId="2" applyNumberFormat="1" applyFont="1" applyFill="1" applyBorder="1" applyAlignment="1" applyProtection="1">
      <alignment horizontal="center"/>
      <protection hidden="1"/>
    </xf>
    <xf numFmtId="164" fontId="4" fillId="0" borderId="10" xfId="1" applyFont="1" applyFill="1" applyBorder="1" applyAlignment="1" applyProtection="1">
      <alignment vertical="center" wrapText="1"/>
      <protection hidden="1"/>
    </xf>
    <xf numFmtId="3" fontId="4" fillId="0" borderId="0" xfId="2" applyNumberFormat="1" applyFont="1" applyFill="1" applyBorder="1" applyAlignment="1" applyProtection="1">
      <alignment horizontal="center" vertical="center"/>
      <protection hidden="1"/>
    </xf>
    <xf numFmtId="168" fontId="4" fillId="0" borderId="10" xfId="1" applyNumberFormat="1" applyFont="1" applyFill="1" applyBorder="1" applyAlignment="1" applyProtection="1">
      <alignment horizontal="center" vertical="center"/>
      <protection hidden="1"/>
    </xf>
    <xf numFmtId="167" fontId="4" fillId="0" borderId="10" xfId="2" applyNumberFormat="1" applyFont="1" applyFill="1" applyBorder="1" applyAlignment="1" applyProtection="1">
      <alignment horizontal="center" vertical="center"/>
      <protection hidden="1"/>
    </xf>
    <xf numFmtId="37" fontId="4" fillId="0" borderId="10" xfId="1" applyNumberFormat="1" applyFont="1" applyFill="1" applyBorder="1" applyAlignment="1" applyProtection="1">
      <alignment vertical="center"/>
      <protection hidden="1"/>
    </xf>
    <xf numFmtId="0" fontId="4" fillId="0" borderId="0" xfId="2" applyFont="1" applyBorder="1" applyAlignment="1" applyProtection="1">
      <alignment vertical="center"/>
      <protection locked="0" hidden="1"/>
    </xf>
    <xf numFmtId="0" fontId="8" fillId="0" borderId="5" xfId="2" applyFont="1" applyBorder="1" applyAlignment="1" applyProtection="1">
      <alignment vertical="center"/>
      <protection locked="0" hidden="1"/>
    </xf>
    <xf numFmtId="0" fontId="8" fillId="0" borderId="5" xfId="2" applyFont="1" applyFill="1" applyBorder="1" applyAlignment="1" applyProtection="1">
      <alignment vertical="center"/>
      <protection locked="0" hidden="1"/>
    </xf>
    <xf numFmtId="164" fontId="4" fillId="0" borderId="10" xfId="1" applyFont="1" applyFill="1" applyBorder="1" applyAlignment="1" applyProtection="1">
      <alignment vertical="center" wrapText="1"/>
      <protection locked="0" hidden="1"/>
    </xf>
    <xf numFmtId="3" fontId="4" fillId="0" borderId="0" xfId="2" applyNumberFormat="1" applyFont="1" applyFill="1" applyBorder="1" applyAlignment="1" applyProtection="1">
      <alignment horizontal="center" vertical="center"/>
      <protection locked="0" hidden="1"/>
    </xf>
    <xf numFmtId="168" fontId="8" fillId="0" borderId="10" xfId="1" applyNumberFormat="1" applyFont="1" applyFill="1" applyBorder="1" applyAlignment="1" applyProtection="1">
      <alignment horizontal="center" vertical="center"/>
      <protection hidden="1"/>
    </xf>
    <xf numFmtId="168" fontId="8" fillId="0" borderId="10" xfId="1" applyNumberFormat="1" applyFont="1" applyFill="1" applyBorder="1" applyAlignment="1" applyProtection="1">
      <alignment horizontal="center" vertical="center"/>
      <protection locked="0" hidden="1"/>
    </xf>
    <xf numFmtId="0" fontId="8" fillId="0" borderId="9" xfId="2" applyFont="1" applyFill="1" applyBorder="1" applyAlignment="1" applyProtection="1">
      <alignment vertical="center"/>
      <protection locked="0" hidden="1"/>
    </xf>
    <xf numFmtId="0" fontId="8" fillId="0" borderId="9" xfId="2" applyFont="1" applyBorder="1" applyAlignment="1" applyProtection="1">
      <alignment vertical="center"/>
      <protection locked="0" hidden="1"/>
    </xf>
    <xf numFmtId="0" fontId="8" fillId="0" borderId="0" xfId="2" applyFont="1" applyFill="1" applyBorder="1" applyAlignment="1" applyProtection="1">
      <alignment vertical="center"/>
      <protection hidden="1"/>
    </xf>
    <xf numFmtId="0" fontId="4" fillId="0" borderId="0" xfId="2" applyFont="1" applyFill="1" applyBorder="1" applyAlignment="1" applyProtection="1">
      <alignment vertical="center"/>
      <protection hidden="1"/>
    </xf>
    <xf numFmtId="0" fontId="8" fillId="0" borderId="0" xfId="2" applyFont="1" applyFill="1" applyBorder="1" applyAlignment="1" applyProtection="1">
      <alignment vertical="center"/>
      <protection locked="0" hidden="1"/>
    </xf>
    <xf numFmtId="38" fontId="4" fillId="0" borderId="0" xfId="2" applyNumberFormat="1" applyFont="1" applyFill="1" applyBorder="1" applyAlignment="1" applyProtection="1">
      <alignment vertical="center"/>
      <protection locked="0" hidden="1"/>
    </xf>
    <xf numFmtId="38" fontId="8" fillId="0" borderId="0" xfId="2" applyNumberFormat="1" applyFont="1" applyFill="1" applyBorder="1" applyAlignment="1" applyProtection="1">
      <alignment horizontal="center" vertical="center"/>
      <protection locked="0" hidden="1"/>
    </xf>
    <xf numFmtId="169" fontId="8" fillId="0" borderId="0" xfId="2" applyNumberFormat="1" applyFont="1" applyFill="1" applyBorder="1" applyAlignment="1" applyProtection="1">
      <alignment vertical="center"/>
      <protection locked="0" hidden="1"/>
    </xf>
    <xf numFmtId="0" fontId="8" fillId="0" borderId="0" xfId="2" applyFont="1" applyAlignment="1" applyProtection="1">
      <alignment vertical="center"/>
      <protection locked="0" hidden="1"/>
    </xf>
    <xf numFmtId="0" fontId="8" fillId="0" borderId="5" xfId="2" applyFont="1" applyBorder="1" applyProtection="1">
      <protection locked="0" hidden="1"/>
    </xf>
    <xf numFmtId="0" fontId="8" fillId="0" borderId="5" xfId="2" applyFont="1" applyFill="1" applyBorder="1" applyProtection="1">
      <protection locked="0" hidden="1"/>
    </xf>
    <xf numFmtId="3" fontId="4" fillId="0" borderId="0" xfId="2" applyNumberFormat="1" applyFont="1" applyFill="1" applyBorder="1" applyAlignment="1" applyProtection="1">
      <alignment vertical="center" wrapText="1"/>
      <protection locked="0" hidden="1"/>
    </xf>
    <xf numFmtId="3" fontId="4" fillId="0" borderId="0" xfId="2" applyNumberFormat="1" applyFont="1" applyFill="1" applyBorder="1" applyAlignment="1" applyProtection="1">
      <alignment horizontal="center"/>
      <protection locked="0" hidden="1"/>
    </xf>
    <xf numFmtId="168" fontId="4" fillId="0" borderId="0" xfId="2" applyNumberFormat="1" applyFont="1" applyFill="1" applyBorder="1" applyAlignment="1" applyProtection="1">
      <alignment horizontal="center" vertical="center"/>
      <protection hidden="1"/>
    </xf>
    <xf numFmtId="168" fontId="4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9" xfId="2" applyFont="1" applyFill="1" applyBorder="1" applyProtection="1">
      <protection locked="0" hidden="1"/>
    </xf>
    <xf numFmtId="0" fontId="8" fillId="0" borderId="9" xfId="2" applyFont="1" applyBorder="1" applyProtection="1">
      <protection locked="0" hidden="1"/>
    </xf>
    <xf numFmtId="0" fontId="8" fillId="0" borderId="0" xfId="2" applyFont="1" applyFill="1" applyBorder="1" applyAlignment="1" applyProtection="1">
      <protection hidden="1"/>
    </xf>
    <xf numFmtId="0" fontId="4" fillId="0" borderId="0" xfId="2" applyFont="1" applyFill="1" applyBorder="1" applyAlignment="1" applyProtection="1">
      <protection hidden="1"/>
    </xf>
    <xf numFmtId="0" fontId="8" fillId="0" borderId="0" xfId="2" applyFont="1" applyFill="1" applyBorder="1" applyAlignment="1" applyProtection="1">
      <protection locked="0" hidden="1"/>
    </xf>
    <xf numFmtId="38" fontId="4" fillId="0" borderId="0" xfId="2" applyNumberFormat="1" applyFont="1" applyFill="1" applyBorder="1" applyAlignment="1" applyProtection="1">
      <protection locked="0" hidden="1"/>
    </xf>
    <xf numFmtId="38" fontId="8" fillId="0" borderId="0" xfId="2" applyNumberFormat="1" applyFont="1" applyFill="1" applyBorder="1" applyAlignment="1" applyProtection="1">
      <alignment horizontal="center"/>
      <protection locked="0" hidden="1"/>
    </xf>
    <xf numFmtId="169" fontId="8" fillId="0" borderId="0" xfId="2" applyNumberFormat="1" applyFont="1" applyFill="1" applyBorder="1" applyAlignment="1" applyProtection="1">
      <protection locked="0" hidden="1"/>
    </xf>
    <xf numFmtId="0" fontId="8" fillId="0" borderId="0" xfId="2" applyFont="1" applyProtection="1">
      <protection locked="0" hidden="1"/>
    </xf>
    <xf numFmtId="3" fontId="9" fillId="0" borderId="0" xfId="2" applyNumberFormat="1" applyFont="1" applyFill="1" applyBorder="1" applyAlignment="1" applyProtection="1">
      <alignment vertical="center" wrapText="1"/>
      <protection locked="0" hidden="1"/>
    </xf>
    <xf numFmtId="3" fontId="8" fillId="0" borderId="0" xfId="2" applyNumberFormat="1" applyFont="1" applyFill="1" applyBorder="1" applyAlignment="1" applyProtection="1">
      <alignment horizontal="center"/>
      <protection locked="0" hidden="1"/>
    </xf>
    <xf numFmtId="38" fontId="12" fillId="0" borderId="0" xfId="2" applyNumberFormat="1" applyFont="1" applyFill="1" applyBorder="1" applyAlignment="1" applyProtection="1">
      <protection locked="0" hidden="1"/>
    </xf>
    <xf numFmtId="38" fontId="8" fillId="0" borderId="0" xfId="2" applyNumberFormat="1" applyFont="1" applyFill="1" applyBorder="1" applyAlignment="1" applyProtection="1">
      <protection locked="0" hidden="1"/>
    </xf>
    <xf numFmtId="3" fontId="4" fillId="0" borderId="0" xfId="2" applyNumberFormat="1" applyFont="1" applyFill="1" applyBorder="1" applyAlignment="1" applyProtection="1">
      <alignment horizontal="right" vertical="center" wrapText="1"/>
      <protection locked="0" hidden="1"/>
    </xf>
    <xf numFmtId="0" fontId="8" fillId="0" borderId="0" xfId="2" applyFont="1" applyFill="1" applyBorder="1" applyAlignment="1" applyProtection="1">
      <alignment horizontal="center"/>
      <protection locked="0" hidden="1"/>
    </xf>
    <xf numFmtId="168" fontId="4" fillId="0" borderId="0" xfId="1" applyNumberFormat="1" applyFont="1" applyFill="1" applyBorder="1" applyAlignment="1" applyProtection="1">
      <alignment horizontal="center" vertical="center"/>
      <protection locked="0" hidden="1"/>
    </xf>
    <xf numFmtId="3" fontId="8" fillId="0" borderId="0" xfId="2" applyNumberFormat="1" applyFont="1" applyFill="1" applyBorder="1" applyAlignment="1" applyProtection="1">
      <alignment horizontal="center"/>
      <protection hidden="1"/>
    </xf>
    <xf numFmtId="168" fontId="4" fillId="0" borderId="0" xfId="1" applyNumberFormat="1" applyFont="1" applyFill="1" applyBorder="1" applyAlignment="1" applyProtection="1">
      <alignment horizontal="right" vertical="center"/>
      <protection locked="0" hidden="1"/>
    </xf>
    <xf numFmtId="3" fontId="4" fillId="0" borderId="10" xfId="2" applyNumberFormat="1" applyFont="1" applyFill="1" applyBorder="1" applyAlignment="1" applyProtection="1">
      <alignment horizontal="left" vertical="center" wrapText="1"/>
      <protection locked="0" hidden="1"/>
    </xf>
    <xf numFmtId="0" fontId="4" fillId="0" borderId="0" xfId="2" applyFont="1" applyFill="1" applyBorder="1" applyAlignment="1" applyProtection="1">
      <alignment horizontal="center" vertical="center"/>
      <protection locked="0" hidden="1"/>
    </xf>
    <xf numFmtId="167" fontId="4" fillId="0" borderId="0" xfId="2" applyNumberFormat="1" applyFont="1" applyAlignment="1" applyProtection="1">
      <alignment vertical="center"/>
      <protection locked="0" hidden="1"/>
    </xf>
    <xf numFmtId="168" fontId="4" fillId="0" borderId="10" xfId="1" applyNumberFormat="1" applyFont="1" applyFill="1" applyBorder="1" applyAlignment="1" applyProtection="1">
      <alignment horizontal="right" vertical="center"/>
      <protection locked="0" hidden="1"/>
    </xf>
    <xf numFmtId="3" fontId="4" fillId="0" borderId="10" xfId="2" applyNumberFormat="1" applyFont="1" applyFill="1" applyBorder="1" applyAlignment="1" applyProtection="1">
      <alignment vertical="center" wrapText="1"/>
      <protection locked="0" hidden="1"/>
    </xf>
    <xf numFmtId="38" fontId="4" fillId="0" borderId="10" xfId="2" applyNumberFormat="1" applyFont="1" applyFill="1" applyBorder="1" applyAlignment="1" applyProtection="1">
      <alignment vertical="center" wrapText="1"/>
      <protection locked="0" hidden="1"/>
    </xf>
    <xf numFmtId="38" fontId="4" fillId="0" borderId="0" xfId="2" applyNumberFormat="1" applyFont="1" applyFill="1" applyBorder="1" applyAlignment="1" applyProtection="1">
      <alignment horizontal="center" vertical="center"/>
      <protection locked="0" hidden="1"/>
    </xf>
    <xf numFmtId="0" fontId="4" fillId="0" borderId="10" xfId="2" applyFont="1" applyBorder="1" applyAlignment="1" applyProtection="1">
      <alignment vertical="center"/>
      <protection locked="0" hidden="1"/>
    </xf>
    <xf numFmtId="168" fontId="4" fillId="0" borderId="10" xfId="1" applyNumberFormat="1" applyFont="1" applyBorder="1" applyAlignment="1" applyProtection="1">
      <alignment vertical="center"/>
      <protection locked="0" hidden="1"/>
    </xf>
    <xf numFmtId="0" fontId="4" fillId="0" borderId="11" xfId="2" applyFont="1" applyBorder="1" applyProtection="1">
      <protection locked="0" hidden="1"/>
    </xf>
    <xf numFmtId="3" fontId="4" fillId="0" borderId="0" xfId="2" applyNumberFormat="1" applyFont="1" applyFill="1" applyBorder="1" applyAlignment="1" applyProtection="1">
      <alignment horizontal="right"/>
      <protection locked="0" hidden="1"/>
    </xf>
    <xf numFmtId="168" fontId="8" fillId="0" borderId="0" xfId="2" applyNumberFormat="1" applyFont="1" applyFill="1" applyBorder="1" applyAlignment="1" applyProtection="1">
      <alignment horizontal="right"/>
      <protection locked="0" hidden="1"/>
    </xf>
    <xf numFmtId="168" fontId="8" fillId="0" borderId="0" xfId="1" applyNumberFormat="1" applyFont="1" applyFill="1" applyBorder="1" applyAlignment="1" applyProtection="1">
      <protection locked="0" hidden="1"/>
    </xf>
    <xf numFmtId="168" fontId="4" fillId="0" borderId="0" xfId="2" applyNumberFormat="1" applyFont="1" applyFill="1" applyBorder="1" applyAlignment="1" applyProtection="1">
      <alignment horizontal="center"/>
      <protection locked="0" hidden="1"/>
    </xf>
    <xf numFmtId="168" fontId="4" fillId="0" borderId="0" xfId="1" applyNumberFormat="1" applyFont="1" applyFill="1" applyBorder="1" applyAlignment="1" applyProtection="1">
      <alignment horizontal="right"/>
      <protection locked="0" hidden="1"/>
    </xf>
    <xf numFmtId="3" fontId="4" fillId="0" borderId="12" xfId="2" applyNumberFormat="1" applyFont="1" applyFill="1" applyBorder="1" applyAlignment="1" applyProtection="1">
      <alignment horizontal="right"/>
      <protection locked="0" hidden="1"/>
    </xf>
    <xf numFmtId="0" fontId="4" fillId="0" borderId="12" xfId="2" applyFont="1" applyFill="1" applyBorder="1" applyAlignment="1" applyProtection="1">
      <alignment horizontal="center"/>
      <protection locked="0" hidden="1"/>
    </xf>
    <xf numFmtId="168" fontId="4" fillId="0" borderId="12" xfId="2" applyNumberFormat="1" applyFont="1" applyFill="1" applyBorder="1" applyAlignment="1" applyProtection="1">
      <alignment horizontal="center"/>
      <protection locked="0" hidden="1"/>
    </xf>
    <xf numFmtId="168" fontId="4" fillId="0" borderId="12" xfId="1" applyNumberFormat="1" applyFont="1" applyFill="1" applyBorder="1" applyAlignment="1" applyProtection="1">
      <alignment horizontal="right"/>
      <protection locked="0" hidden="1"/>
    </xf>
    <xf numFmtId="0" fontId="8" fillId="0" borderId="0" xfId="2" applyFont="1" applyFill="1" applyBorder="1" applyAlignment="1" applyProtection="1">
      <alignment horizontal="left"/>
      <protection hidden="1"/>
    </xf>
    <xf numFmtId="168" fontId="8" fillId="0" borderId="10" xfId="1" applyNumberFormat="1" applyFont="1" applyFill="1" applyBorder="1" applyAlignment="1" applyProtection="1">
      <protection locked="0" hidden="1"/>
    </xf>
    <xf numFmtId="0" fontId="8" fillId="0" borderId="0" xfId="2" applyFont="1" applyFill="1" applyBorder="1" applyAlignment="1" applyProtection="1">
      <alignment horizontal="left"/>
      <protection hidden="1"/>
    </xf>
    <xf numFmtId="38" fontId="4" fillId="0" borderId="0" xfId="2" applyNumberFormat="1" applyFont="1" applyFill="1" applyBorder="1" applyAlignment="1" applyProtection="1">
      <alignment horizontal="center"/>
      <protection locked="0" hidden="1"/>
    </xf>
    <xf numFmtId="168" fontId="4" fillId="0" borderId="0" xfId="2" applyNumberFormat="1" applyFont="1" applyFill="1" applyBorder="1" applyAlignment="1" applyProtection="1">
      <alignment horizontal="right"/>
      <protection locked="0" hidden="1"/>
    </xf>
    <xf numFmtId="38" fontId="4" fillId="0" borderId="12" xfId="2" applyNumberFormat="1" applyFont="1" applyFill="1" applyBorder="1" applyAlignment="1" applyProtection="1">
      <alignment horizontal="center"/>
      <protection locked="0" hidden="1"/>
    </xf>
    <xf numFmtId="168" fontId="4" fillId="0" borderId="12" xfId="2" applyNumberFormat="1" applyFont="1" applyFill="1" applyBorder="1" applyAlignment="1" applyProtection="1">
      <alignment horizontal="right"/>
      <protection locked="0" hidden="1"/>
    </xf>
    <xf numFmtId="0" fontId="10" fillId="3" borderId="0" xfId="2" applyNumberFormat="1" applyFont="1" applyFill="1" applyBorder="1" applyAlignment="1" applyProtection="1">
      <alignment vertical="center"/>
      <protection locked="0"/>
    </xf>
    <xf numFmtId="0" fontId="10" fillId="3" borderId="0" xfId="2" applyNumberFormat="1" applyFont="1" applyFill="1" applyBorder="1" applyAlignment="1" applyProtection="1">
      <alignment horizontal="center" vertical="center"/>
      <protection locked="0"/>
    </xf>
    <xf numFmtId="4" fontId="11" fillId="3" borderId="0" xfId="2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2" applyNumberFormat="1" applyFont="1" applyFill="1" applyBorder="1" applyAlignment="1" applyProtection="1">
      <alignment horizontal="center" vertical="center"/>
      <protection locked="0"/>
    </xf>
    <xf numFmtId="168" fontId="11" fillId="3" borderId="0" xfId="2" applyNumberFormat="1" applyFont="1" applyFill="1" applyBorder="1" applyAlignment="1" applyProtection="1">
      <alignment horizontal="center" vertical="center" wrapText="1"/>
      <protection locked="0"/>
    </xf>
    <xf numFmtId="3" fontId="9" fillId="0" borderId="10" xfId="2" applyNumberFormat="1" applyFont="1" applyFill="1" applyBorder="1" applyAlignment="1" applyProtection="1">
      <alignment vertical="center" wrapText="1"/>
      <protection locked="0" hidden="1"/>
    </xf>
    <xf numFmtId="3" fontId="8" fillId="0" borderId="10" xfId="2" applyNumberFormat="1" applyFont="1" applyFill="1" applyBorder="1" applyAlignment="1" applyProtection="1">
      <alignment vertical="center" wrapText="1"/>
      <protection locked="0" hidden="1"/>
    </xf>
    <xf numFmtId="3" fontId="8" fillId="0" borderId="0" xfId="2" applyNumberFormat="1" applyFont="1" applyFill="1" applyBorder="1" applyAlignment="1" applyProtection="1">
      <alignment horizontal="center" vertical="center"/>
      <protection locked="0" hidden="1"/>
    </xf>
    <xf numFmtId="168" fontId="8" fillId="0" borderId="10" xfId="1" applyNumberFormat="1" applyFont="1" applyFill="1" applyBorder="1" applyAlignment="1" applyProtection="1">
      <alignment horizontal="right" vertical="center"/>
      <protection locked="0" hidden="1"/>
    </xf>
    <xf numFmtId="0" fontId="4" fillId="0" borderId="0" xfId="2" applyFont="1" applyAlignment="1" applyProtection="1">
      <alignment vertical="center" wrapText="1"/>
      <protection locked="0" hidden="1"/>
    </xf>
    <xf numFmtId="0" fontId="4" fillId="0" borderId="0" xfId="2" applyFont="1" applyAlignment="1" applyProtection="1">
      <alignment horizontal="center"/>
      <protection locked="0" hidden="1"/>
    </xf>
    <xf numFmtId="164" fontId="4" fillId="0" borderId="0" xfId="1" applyFont="1" applyFill="1" applyBorder="1" applyAlignment="1" applyProtection="1">
      <alignment horizontal="right"/>
      <protection locked="0" hidden="1"/>
    </xf>
    <xf numFmtId="0" fontId="4" fillId="0" borderId="10" xfId="2" applyFont="1" applyBorder="1" applyAlignment="1" applyProtection="1">
      <alignment vertical="center" wrapText="1"/>
      <protection locked="0" hidden="1"/>
    </xf>
    <xf numFmtId="168" fontId="4" fillId="0" borderId="10" xfId="1" applyNumberFormat="1" applyFont="1" applyFill="1" applyBorder="1" applyAlignment="1" applyProtection="1">
      <alignment horizontal="right"/>
      <protection locked="0" hidden="1"/>
    </xf>
    <xf numFmtId="168" fontId="4" fillId="0" borderId="10" xfId="2" applyNumberFormat="1" applyFont="1" applyFill="1" applyBorder="1" applyAlignment="1" applyProtection="1">
      <alignment horizontal="right"/>
      <protection locked="0" hidden="1"/>
    </xf>
    <xf numFmtId="3" fontId="9" fillId="0" borderId="0" xfId="2" applyNumberFormat="1" applyFont="1" applyFill="1" applyBorder="1" applyAlignment="1" applyProtection="1">
      <alignment wrapText="1"/>
      <protection locked="0" hidden="1"/>
    </xf>
    <xf numFmtId="164" fontId="4" fillId="0" borderId="0" xfId="1" applyFont="1" applyAlignment="1" applyProtection="1">
      <protection locked="0" hidden="1"/>
    </xf>
    <xf numFmtId="168" fontId="4" fillId="0" borderId="0" xfId="2" applyNumberFormat="1" applyFont="1" applyAlignment="1" applyProtection="1">
      <protection locked="0" hidden="1"/>
    </xf>
    <xf numFmtId="3" fontId="8" fillId="0" borderId="0" xfId="2" applyNumberFormat="1" applyFont="1" applyFill="1" applyBorder="1" applyAlignment="1" applyProtection="1">
      <alignment vertical="center" wrapText="1"/>
      <protection locked="0" hidden="1"/>
    </xf>
    <xf numFmtId="3" fontId="12" fillId="0" borderId="0" xfId="2" applyNumberFormat="1" applyFont="1" applyFill="1" applyBorder="1" applyAlignment="1" applyProtection="1">
      <alignment horizontal="center"/>
      <protection locked="0" hidden="1"/>
    </xf>
    <xf numFmtId="3" fontId="4" fillId="0" borderId="0" xfId="2" applyNumberFormat="1" applyFont="1" applyFill="1" applyBorder="1" applyAlignment="1" applyProtection="1">
      <alignment wrapText="1"/>
      <protection locked="0" hidden="1"/>
    </xf>
    <xf numFmtId="3" fontId="4" fillId="0" borderId="0" xfId="2" applyNumberFormat="1" applyFont="1" applyFill="1" applyBorder="1" applyAlignment="1" applyProtection="1">
      <alignment horizontal="right" wrapText="1"/>
      <protection locked="0" hidden="1"/>
    </xf>
    <xf numFmtId="164" fontId="8" fillId="0" borderId="0" xfId="1" applyFont="1" applyFill="1" applyBorder="1" applyAlignment="1" applyProtection="1">
      <alignment horizontal="right"/>
      <protection locked="0" hidden="1"/>
    </xf>
    <xf numFmtId="168" fontId="8" fillId="0" borderId="0" xfId="1" applyNumberFormat="1" applyFont="1" applyFill="1" applyBorder="1" applyAlignment="1" applyProtection="1">
      <alignment horizontal="right"/>
      <protection locked="0" hidden="1"/>
    </xf>
    <xf numFmtId="164" fontId="4" fillId="0" borderId="0" xfId="1" applyFont="1" applyFill="1" applyBorder="1" applyAlignment="1" applyProtection="1">
      <alignment horizontal="right" vertical="center"/>
      <protection locked="0" hidden="1"/>
    </xf>
    <xf numFmtId="9" fontId="4" fillId="0" borderId="0" xfId="4" applyFont="1" applyAlignment="1" applyProtection="1">
      <alignment vertical="center"/>
      <protection locked="0" hidden="1"/>
    </xf>
    <xf numFmtId="38" fontId="4" fillId="0" borderId="0" xfId="2" applyNumberFormat="1" applyFont="1" applyFill="1" applyBorder="1" applyAlignment="1" applyProtection="1">
      <alignment horizontal="right"/>
      <protection locked="0" hidden="1"/>
    </xf>
    <xf numFmtId="9" fontId="4" fillId="0" borderId="0" xfId="4" applyFont="1" applyProtection="1">
      <protection locked="0" hidden="1"/>
    </xf>
    <xf numFmtId="38" fontId="4" fillId="0" borderId="12" xfId="2" applyNumberFormat="1" applyFont="1" applyFill="1" applyBorder="1" applyAlignment="1" applyProtection="1">
      <alignment horizontal="right"/>
      <protection locked="0" hidden="1"/>
    </xf>
    <xf numFmtId="3" fontId="8" fillId="0" borderId="0" xfId="2" applyNumberFormat="1" applyFont="1" applyFill="1" applyBorder="1" applyAlignment="1" applyProtection="1">
      <protection locked="0"/>
    </xf>
    <xf numFmtId="168" fontId="8" fillId="0" borderId="10" xfId="1" applyNumberFormat="1" applyFont="1" applyFill="1" applyBorder="1" applyAlignment="1" applyProtection="1">
      <alignment vertical="center"/>
      <protection locked="0" hidden="1"/>
    </xf>
    <xf numFmtId="4" fontId="4" fillId="0" borderId="0" xfId="2" applyNumberFormat="1" applyFont="1" applyFill="1" applyBorder="1" applyAlignment="1" applyProtection="1">
      <protection hidden="1"/>
    </xf>
    <xf numFmtId="0" fontId="4" fillId="0" borderId="12" xfId="2" applyFont="1" applyFill="1" applyBorder="1" applyAlignment="1" applyProtection="1">
      <alignment horizontal="right"/>
      <protection locked="0" hidden="1"/>
    </xf>
    <xf numFmtId="168" fontId="4" fillId="0" borderId="0" xfId="2" applyNumberFormat="1" applyFont="1" applyFill="1" applyAlignment="1" applyProtection="1">
      <alignment horizontal="center"/>
      <protection locked="0" hidden="1"/>
    </xf>
    <xf numFmtId="168" fontId="14" fillId="0" borderId="0" xfId="2" applyNumberFormat="1" applyFont="1" applyFill="1" applyAlignment="1" applyProtection="1">
      <alignment horizontal="center"/>
      <protection locked="0" hidden="1"/>
    </xf>
    <xf numFmtId="0" fontId="4" fillId="0" borderId="0" xfId="2" applyFont="1" applyFill="1" applyAlignment="1" applyProtection="1">
      <protection locked="0" hidden="1"/>
    </xf>
    <xf numFmtId="0" fontId="4" fillId="0" borderId="0" xfId="2" applyFont="1" applyFill="1" applyAlignment="1" applyProtection="1">
      <alignment horizontal="left"/>
      <protection locked="0" hidden="1"/>
    </xf>
    <xf numFmtId="168" fontId="8" fillId="0" borderId="0" xfId="2" applyNumberFormat="1" applyFont="1" applyFill="1" applyAlignment="1" applyProtection="1">
      <alignment horizontal="center"/>
      <protection locked="0" hidden="1"/>
    </xf>
    <xf numFmtId="0" fontId="4" fillId="0" borderId="0" xfId="2" applyFont="1" applyFill="1" applyBorder="1" applyAlignment="1" applyProtection="1">
      <alignment vertical="top"/>
      <protection locked="0" hidden="1"/>
    </xf>
    <xf numFmtId="0" fontId="4" fillId="0" borderId="0" xfId="2" applyFont="1" applyBorder="1" applyAlignment="1" applyProtection="1">
      <alignment vertical="top"/>
      <protection hidden="1"/>
    </xf>
    <xf numFmtId="0" fontId="4" fillId="0" borderId="9" xfId="2" applyFont="1" applyBorder="1" applyAlignment="1" applyProtection="1">
      <alignment vertical="top"/>
      <protection locked="0" hidden="1"/>
    </xf>
    <xf numFmtId="0" fontId="8" fillId="0" borderId="0" xfId="2" applyFont="1" applyFill="1" applyBorder="1" applyAlignment="1" applyProtection="1">
      <alignment vertical="top"/>
      <protection locked="0" hidden="1"/>
    </xf>
    <xf numFmtId="0" fontId="8" fillId="0" borderId="0" xfId="2" applyFont="1" applyBorder="1" applyAlignment="1" applyProtection="1">
      <alignment vertical="top"/>
      <protection hidden="1"/>
    </xf>
    <xf numFmtId="0" fontId="8" fillId="0" borderId="9" xfId="2" applyFont="1" applyBorder="1" applyAlignment="1" applyProtection="1">
      <alignment vertical="top"/>
      <protection locked="0" hidden="1"/>
    </xf>
    <xf numFmtId="0" fontId="4" fillId="0" borderId="0" xfId="2" applyFont="1" applyBorder="1" applyProtection="1">
      <protection hidden="1"/>
    </xf>
    <xf numFmtId="0" fontId="4" fillId="0" borderId="9" xfId="2" applyFont="1" applyBorder="1" applyAlignment="1" applyProtection="1">
      <alignment horizontal="center"/>
      <protection locked="0" hidden="1"/>
    </xf>
    <xf numFmtId="0" fontId="4" fillId="0" borderId="9" xfId="2" applyFont="1" applyBorder="1" applyAlignment="1" applyProtection="1">
      <protection locked="0" hidden="1"/>
    </xf>
    <xf numFmtId="0" fontId="4" fillId="0" borderId="11" xfId="2" applyFont="1" applyBorder="1" applyAlignment="1" applyProtection="1">
      <protection locked="0" hidden="1"/>
    </xf>
    <xf numFmtId="169" fontId="4" fillId="0" borderId="0" xfId="5" applyNumberFormat="1" applyFont="1" applyFill="1" applyBorder="1" applyAlignment="1"/>
    <xf numFmtId="169" fontId="15" fillId="0" borderId="0" xfId="5" applyNumberFormat="1" applyFont="1" applyFill="1" applyBorder="1" applyAlignment="1">
      <alignment horizontal="left" vertical="center"/>
    </xf>
    <xf numFmtId="169" fontId="4" fillId="0" borderId="9" xfId="5" applyNumberFormat="1" applyFont="1" applyFill="1" applyBorder="1" applyAlignment="1"/>
    <xf numFmtId="0" fontId="4" fillId="0" borderId="0" xfId="2" applyFont="1" applyAlignment="1" applyProtection="1">
      <protection locked="0" hidden="1"/>
    </xf>
    <xf numFmtId="0" fontId="4" fillId="0" borderId="11" xfId="2" applyFont="1" applyFill="1" applyBorder="1" applyAlignment="1" applyProtection="1">
      <protection locked="0" hidden="1"/>
    </xf>
    <xf numFmtId="0" fontId="8" fillId="0" borderId="11" xfId="2" applyFont="1" applyFill="1" applyBorder="1" applyAlignment="1" applyProtection="1">
      <alignment vertical="top"/>
      <protection locked="0" hidden="1"/>
    </xf>
    <xf numFmtId="0" fontId="4" fillId="0" borderId="11" xfId="2" applyFont="1" applyFill="1" applyBorder="1" applyAlignment="1" applyProtection="1">
      <alignment horizontal="right"/>
      <protection locked="0" hidden="1"/>
    </xf>
    <xf numFmtId="0" fontId="4" fillId="0" borderId="0" xfId="2" applyFont="1" applyBorder="1" applyAlignment="1" applyProtection="1">
      <alignment horizontal="center"/>
      <protection hidden="1"/>
    </xf>
    <xf numFmtId="0" fontId="4" fillId="0" borderId="0" xfId="2" applyFont="1" applyBorder="1" applyAlignment="1" applyProtection="1">
      <alignment horizontal="right"/>
      <protection hidden="1"/>
    </xf>
    <xf numFmtId="0" fontId="4" fillId="0" borderId="11" xfId="2" applyFont="1" applyFill="1" applyBorder="1" applyAlignment="1" applyProtection="1">
      <alignment horizontal="right" vertical="center"/>
      <protection locked="0" hidden="1"/>
    </xf>
    <xf numFmtId="0" fontId="4" fillId="0" borderId="0" xfId="2" applyFont="1" applyFill="1" applyBorder="1" applyAlignment="1" applyProtection="1">
      <alignment vertical="center"/>
      <protection locked="0" hidden="1"/>
    </xf>
    <xf numFmtId="169" fontId="4" fillId="0" borderId="0" xfId="5" applyNumberFormat="1" applyFont="1" applyFill="1" applyBorder="1" applyAlignment="1">
      <alignment horizontal="center" vertical="center"/>
    </xf>
    <xf numFmtId="169" fontId="4" fillId="0" borderId="0" xfId="5" applyNumberFormat="1" applyFont="1" applyFill="1" applyBorder="1" applyAlignment="1">
      <alignment horizontal="center" vertical="center"/>
    </xf>
    <xf numFmtId="169" fontId="4" fillId="0" borderId="0" xfId="5" applyNumberFormat="1" applyFont="1" applyFill="1" applyBorder="1" applyAlignment="1">
      <alignment vertical="center"/>
    </xf>
    <xf numFmtId="169" fontId="4" fillId="0" borderId="9" xfId="5" applyNumberFormat="1" applyFont="1" applyFill="1" applyBorder="1" applyAlignment="1">
      <alignment vertical="center"/>
    </xf>
    <xf numFmtId="0" fontId="4" fillId="0" borderId="11" xfId="2" applyFont="1" applyFill="1" applyBorder="1" applyAlignment="1" applyProtection="1">
      <alignment horizontal="center" vertical="center"/>
      <protection locked="0" hidden="1"/>
    </xf>
    <xf numFmtId="169" fontId="8" fillId="0" borderId="0" xfId="5" applyNumberFormat="1" applyFont="1" applyFill="1" applyBorder="1" applyAlignment="1">
      <alignment horizontal="center" vertical="center"/>
    </xf>
    <xf numFmtId="169" fontId="8" fillId="0" borderId="0" xfId="5" applyNumberFormat="1" applyFont="1" applyFill="1" applyBorder="1" applyAlignment="1">
      <alignment horizontal="center" vertical="center"/>
    </xf>
    <xf numFmtId="169" fontId="8" fillId="0" borderId="0" xfId="5" applyNumberFormat="1" applyFont="1" applyFill="1" applyBorder="1" applyAlignment="1">
      <alignment vertical="center"/>
    </xf>
    <xf numFmtId="169" fontId="8" fillId="0" borderId="9" xfId="5" applyNumberFormat="1" applyFont="1" applyFill="1" applyBorder="1" applyAlignment="1">
      <alignment vertical="center"/>
    </xf>
    <xf numFmtId="0" fontId="16" fillId="0" borderId="9" xfId="2" applyFont="1" applyBorder="1" applyProtection="1">
      <protection locked="0" hidden="1"/>
    </xf>
    <xf numFmtId="0" fontId="17" fillId="0" borderId="11" xfId="2" applyFont="1" applyBorder="1" applyAlignment="1">
      <alignment horizontal="left"/>
    </xf>
    <xf numFmtId="169" fontId="17" fillId="0" borderId="0" xfId="5" applyNumberFormat="1" applyFont="1" applyFill="1" applyBorder="1" applyAlignment="1">
      <alignment horizontal="center"/>
    </xf>
    <xf numFmtId="0" fontId="17" fillId="0" borderId="0" xfId="2" applyFont="1" applyBorder="1" applyAlignment="1" applyProtection="1">
      <alignment horizontal="left"/>
      <protection hidden="1"/>
    </xf>
    <xf numFmtId="0" fontId="16" fillId="0" borderId="0" xfId="2" applyFont="1" applyBorder="1" applyAlignment="1" applyProtection="1">
      <alignment horizontal="left"/>
      <protection hidden="1"/>
    </xf>
    <xf numFmtId="0" fontId="16" fillId="0" borderId="11" xfId="2" applyFont="1" applyBorder="1" applyProtection="1">
      <protection locked="0" hidden="1"/>
    </xf>
    <xf numFmtId="0" fontId="16" fillId="0" borderId="0" xfId="2" applyFont="1" applyProtection="1">
      <protection locked="0" hidden="1"/>
    </xf>
    <xf numFmtId="0" fontId="16" fillId="0" borderId="0" xfId="2" applyFont="1" applyFill="1" applyBorder="1" applyProtection="1">
      <protection locked="0" hidden="1"/>
    </xf>
    <xf numFmtId="0" fontId="17" fillId="0" borderId="0" xfId="2" applyFont="1" applyBorder="1" applyProtection="1">
      <protection hidden="1"/>
    </xf>
    <xf numFmtId="0" fontId="16" fillId="0" borderId="0" xfId="2" applyFont="1" applyBorder="1" applyProtection="1">
      <protection hidden="1"/>
    </xf>
    <xf numFmtId="0" fontId="4" fillId="0" borderId="13" xfId="2" applyFont="1" applyBorder="1" applyProtection="1">
      <protection locked="0" hidden="1"/>
    </xf>
    <xf numFmtId="0" fontId="4" fillId="0" borderId="14" xfId="2" applyFont="1" applyBorder="1" applyProtection="1">
      <protection locked="0" hidden="1"/>
    </xf>
    <xf numFmtId="0" fontId="24" fillId="0" borderId="0" xfId="2" applyFont="1" applyFill="1" applyProtection="1">
      <protection locked="0" hidden="1"/>
    </xf>
    <xf numFmtId="0" fontId="25" fillId="0" borderId="0" xfId="2" applyFont="1" applyFill="1" applyAlignment="1" applyProtection="1">
      <alignment horizontal="right"/>
      <protection locked="0" hidden="1"/>
    </xf>
    <xf numFmtId="0" fontId="25" fillId="0" borderId="0" xfId="2" applyFont="1" applyFill="1" applyProtection="1">
      <protection locked="0" hidden="1"/>
    </xf>
    <xf numFmtId="0" fontId="25" fillId="0" borderId="0" xfId="2" applyFont="1" applyProtection="1">
      <protection hidden="1"/>
    </xf>
    <xf numFmtId="0" fontId="25" fillId="0" borderId="0" xfId="2" applyFont="1" applyProtection="1">
      <protection locked="0" hidden="1"/>
    </xf>
    <xf numFmtId="0" fontId="26" fillId="0" borderId="0" xfId="2" applyFont="1" applyFill="1" applyProtection="1">
      <protection locked="0" hidden="1"/>
    </xf>
    <xf numFmtId="0" fontId="25" fillId="0" borderId="0" xfId="2" applyFont="1" applyBorder="1" applyProtection="1">
      <protection locked="0" hidden="1"/>
    </xf>
    <xf numFmtId="0" fontId="27" fillId="0" borderId="0" xfId="2" applyFont="1" applyFill="1" applyProtection="1">
      <protection locked="0" hidden="1"/>
    </xf>
    <xf numFmtId="0" fontId="24" fillId="0" borderId="0" xfId="2" applyFont="1" applyProtection="1">
      <protection locked="0" hidden="1"/>
    </xf>
    <xf numFmtId="0" fontId="24" fillId="0" borderId="6" xfId="2" applyFont="1" applyFill="1" applyBorder="1" applyProtection="1">
      <protection locked="0" hidden="1"/>
    </xf>
    <xf numFmtId="0" fontId="24" fillId="0" borderId="3" xfId="2" applyFont="1" applyFill="1" applyBorder="1" applyProtection="1">
      <protection locked="0" hidden="1"/>
    </xf>
    <xf numFmtId="0" fontId="25" fillId="0" borderId="3" xfId="2" applyFont="1" applyFill="1" applyBorder="1" applyAlignment="1" applyProtection="1">
      <alignment horizontal="right"/>
      <protection locked="0" hidden="1"/>
    </xf>
    <xf numFmtId="0" fontId="25" fillId="0" borderId="3" xfId="2" applyFont="1" applyFill="1" applyBorder="1" applyProtection="1">
      <protection locked="0" hidden="1"/>
    </xf>
    <xf numFmtId="0" fontId="25" fillId="0" borderId="3" xfId="2" applyFont="1" applyBorder="1" applyProtection="1">
      <protection hidden="1"/>
    </xf>
    <xf numFmtId="0" fontId="25" fillId="0" borderId="3" xfId="2" applyFont="1" applyBorder="1" applyProtection="1">
      <protection locked="0" hidden="1"/>
    </xf>
    <xf numFmtId="0" fontId="26" fillId="0" borderId="3" xfId="2" applyFont="1" applyFill="1" applyBorder="1" applyProtection="1">
      <protection locked="0" hidden="1"/>
    </xf>
    <xf numFmtId="0" fontId="25" fillId="0" borderId="8" xfId="2" applyFont="1" applyFill="1" applyBorder="1" applyProtection="1">
      <protection locked="0" hidden="1"/>
    </xf>
    <xf numFmtId="0" fontId="28" fillId="0" borderId="0" xfId="2" applyFont="1" applyFill="1" applyProtection="1">
      <protection locked="0" hidden="1"/>
    </xf>
    <xf numFmtId="0" fontId="28" fillId="0" borderId="5" xfId="2" applyFont="1" applyFill="1" applyBorder="1" applyProtection="1">
      <protection locked="0" hidden="1"/>
    </xf>
    <xf numFmtId="0" fontId="29" fillId="0" borderId="6" xfId="2" applyFont="1" applyFill="1" applyBorder="1" applyAlignment="1" applyProtection="1">
      <alignment horizontal="center"/>
      <protection hidden="1"/>
    </xf>
    <xf numFmtId="0" fontId="29" fillId="0" borderId="7" xfId="2" applyFont="1" applyFill="1" applyBorder="1" applyAlignment="1" applyProtection="1">
      <alignment horizontal="center"/>
      <protection hidden="1"/>
    </xf>
    <xf numFmtId="0" fontId="29" fillId="0" borderId="8" xfId="2" applyFont="1" applyFill="1" applyBorder="1" applyAlignment="1" applyProtection="1">
      <alignment horizontal="center"/>
      <protection hidden="1"/>
    </xf>
    <xf numFmtId="0" fontId="30" fillId="0" borderId="9" xfId="2" applyFont="1" applyFill="1" applyBorder="1" applyProtection="1">
      <protection locked="0" hidden="1"/>
    </xf>
    <xf numFmtId="0" fontId="30" fillId="0" borderId="0" xfId="2" applyFont="1" applyFill="1" applyProtection="1">
      <protection locked="0" hidden="1"/>
    </xf>
    <xf numFmtId="0" fontId="30" fillId="5" borderId="0" xfId="2" applyFont="1" applyFill="1" applyProtection="1">
      <protection locked="0" hidden="1"/>
    </xf>
    <xf numFmtId="0" fontId="28" fillId="5" borderId="0" xfId="2" applyFont="1" applyFill="1" applyProtection="1">
      <protection locked="0" hidden="1"/>
    </xf>
    <xf numFmtId="0" fontId="31" fillId="0" borderId="5" xfId="2" applyFont="1" applyFill="1" applyBorder="1" applyAlignment="1" applyProtection="1">
      <alignment horizontal="center"/>
      <protection hidden="1"/>
    </xf>
    <xf numFmtId="0" fontId="31" fillId="0" borderId="0" xfId="2" applyFont="1" applyFill="1" applyBorder="1" applyAlignment="1" applyProtection="1">
      <alignment horizontal="center"/>
      <protection hidden="1"/>
    </xf>
    <xf numFmtId="0" fontId="31" fillId="0" borderId="9" xfId="2" applyFont="1" applyFill="1" applyBorder="1" applyAlignment="1" applyProtection="1">
      <alignment horizontal="center"/>
      <protection hidden="1"/>
    </xf>
    <xf numFmtId="0" fontId="32" fillId="0" borderId="0" xfId="2" applyFont="1" applyFill="1" applyBorder="1" applyAlignment="1" applyProtection="1">
      <alignment horizontal="center"/>
      <protection locked="0" hidden="1"/>
    </xf>
    <xf numFmtId="0" fontId="32" fillId="0" borderId="5" xfId="2" applyFont="1" applyFill="1" applyBorder="1" applyAlignment="1" applyProtection="1">
      <alignment horizontal="center"/>
      <protection locked="0" hidden="1"/>
    </xf>
    <xf numFmtId="0" fontId="33" fillId="0" borderId="5" xfId="2" applyFont="1" applyFill="1" applyBorder="1" applyAlignment="1" applyProtection="1">
      <alignment horizontal="center" vertical="center" wrapText="1"/>
      <protection locked="0" hidden="1"/>
    </xf>
    <xf numFmtId="0" fontId="33" fillId="0" borderId="0" xfId="2" applyFont="1" applyFill="1" applyBorder="1" applyAlignment="1" applyProtection="1">
      <alignment horizontal="center" vertical="center" wrapText="1"/>
      <protection locked="0" hidden="1"/>
    </xf>
    <xf numFmtId="0" fontId="33" fillId="0" borderId="9" xfId="2" applyFont="1" applyFill="1" applyBorder="1" applyAlignment="1" applyProtection="1">
      <alignment horizontal="center" vertical="center" wrapText="1"/>
      <protection locked="0" hidden="1"/>
    </xf>
    <xf numFmtId="0" fontId="34" fillId="0" borderId="9" xfId="2" applyFont="1" applyFill="1" applyBorder="1" applyAlignment="1" applyProtection="1">
      <alignment horizontal="center"/>
      <protection locked="0" hidden="1"/>
    </xf>
    <xf numFmtId="0" fontId="34" fillId="0" borderId="0" xfId="2" applyFont="1" applyFill="1" applyBorder="1" applyAlignment="1" applyProtection="1">
      <alignment horizontal="center"/>
      <protection locked="0" hidden="1"/>
    </xf>
    <xf numFmtId="0" fontId="34" fillId="5" borderId="0" xfId="2" applyFont="1" applyFill="1" applyBorder="1" applyAlignment="1" applyProtection="1">
      <alignment horizontal="center"/>
      <protection locked="0" hidden="1"/>
    </xf>
    <xf numFmtId="0" fontId="35" fillId="0" borderId="0" xfId="2" applyFont="1" applyFill="1" applyBorder="1" applyAlignment="1" applyProtection="1">
      <alignment horizontal="center"/>
      <protection locked="0" hidden="1"/>
    </xf>
    <xf numFmtId="0" fontId="32" fillId="5" borderId="0" xfId="2" applyFont="1" applyFill="1" applyBorder="1" applyAlignment="1" applyProtection="1">
      <alignment horizontal="center"/>
      <protection locked="0" hidden="1"/>
    </xf>
    <xf numFmtId="0" fontId="33" fillId="0" borderId="5" xfId="2" applyFont="1" applyFill="1" applyBorder="1" applyAlignment="1" applyProtection="1">
      <alignment horizontal="center" vertical="center" wrapText="1"/>
      <protection locked="0" hidden="1"/>
    </xf>
    <xf numFmtId="0" fontId="33" fillId="0" borderId="0" xfId="2" applyFont="1" applyFill="1" applyBorder="1" applyAlignment="1" applyProtection="1">
      <alignment horizontal="center" vertical="center" wrapText="1"/>
      <protection locked="0" hidden="1"/>
    </xf>
    <xf numFmtId="0" fontId="36" fillId="0" borderId="17" xfId="2" applyFont="1" applyFill="1" applyBorder="1" applyAlignment="1" applyProtection="1">
      <alignment horizontal="center" vertical="center" wrapText="1"/>
      <protection locked="0" hidden="1"/>
    </xf>
    <xf numFmtId="0" fontId="33" fillId="0" borderId="9" xfId="2" applyFont="1" applyFill="1" applyBorder="1" applyAlignment="1" applyProtection="1">
      <alignment horizontal="center" vertical="center" wrapText="1"/>
      <protection locked="0" hidden="1"/>
    </xf>
    <xf numFmtId="0" fontId="24" fillId="0" borderId="0" xfId="2" applyFont="1" applyFill="1" applyAlignment="1" applyProtection="1">
      <alignment horizontal="center"/>
      <protection locked="0" hidden="1"/>
    </xf>
    <xf numFmtId="0" fontId="24" fillId="0" borderId="5" xfId="2" applyFont="1" applyFill="1" applyBorder="1" applyAlignment="1" applyProtection="1">
      <alignment horizontal="center"/>
      <protection locked="0" hidden="1"/>
    </xf>
    <xf numFmtId="0" fontId="37" fillId="0" borderId="18" xfId="2" applyFont="1" applyFill="1" applyBorder="1" applyAlignment="1" applyProtection="1">
      <alignment horizontal="center" vertical="center" wrapText="1"/>
      <protection locked="0" hidden="1"/>
    </xf>
    <xf numFmtId="0" fontId="25" fillId="0" borderId="0" xfId="2" applyFont="1" applyFill="1" applyBorder="1" applyAlignment="1" applyProtection="1">
      <alignment horizontal="center"/>
      <protection locked="0" hidden="1"/>
    </xf>
    <xf numFmtId="0" fontId="38" fillId="0" borderId="0" xfId="2" applyFont="1" applyFill="1" applyBorder="1" applyAlignment="1" applyProtection="1">
      <alignment horizontal="center" vertical="center" wrapText="1"/>
      <protection hidden="1"/>
    </xf>
    <xf numFmtId="0" fontId="39" fillId="0" borderId="18" xfId="2" applyFont="1" applyFill="1" applyBorder="1" applyAlignment="1" applyProtection="1">
      <alignment horizontal="center" vertical="center" wrapText="1"/>
      <protection locked="0" hidden="1"/>
    </xf>
    <xf numFmtId="0" fontId="40" fillId="0" borderId="18" xfId="2" applyFont="1" applyFill="1" applyBorder="1" applyAlignment="1" applyProtection="1">
      <alignment horizontal="center" vertical="center" wrapText="1"/>
      <protection locked="0" hidden="1"/>
    </xf>
    <xf numFmtId="0" fontId="39" fillId="0" borderId="0" xfId="2" applyFont="1" applyFill="1" applyBorder="1" applyAlignment="1" applyProtection="1">
      <alignment horizontal="center" vertical="center" wrapText="1"/>
      <protection locked="0" hidden="1"/>
    </xf>
    <xf numFmtId="0" fontId="39" fillId="0" borderId="18" xfId="2" applyFont="1" applyFill="1" applyBorder="1" applyAlignment="1" applyProtection="1">
      <alignment horizontal="center" vertical="center"/>
      <protection locked="0" hidden="1"/>
    </xf>
    <xf numFmtId="0" fontId="25" fillId="0" borderId="9" xfId="2" applyFont="1" applyFill="1" applyBorder="1" applyAlignment="1" applyProtection="1">
      <alignment horizontal="center"/>
      <protection locked="0" hidden="1"/>
    </xf>
    <xf numFmtId="0" fontId="25" fillId="0" borderId="0" xfId="2" applyFont="1" applyFill="1" applyAlignment="1" applyProtection="1">
      <alignment horizontal="center"/>
      <protection locked="0" hidden="1"/>
    </xf>
    <xf numFmtId="0" fontId="27" fillId="0" borderId="0" xfId="2" applyFont="1" applyFill="1" applyAlignment="1" applyProtection="1">
      <alignment horizontal="center"/>
      <protection locked="0" hidden="1"/>
    </xf>
    <xf numFmtId="0" fontId="41" fillId="0" borderId="0" xfId="2" applyFont="1" applyFill="1" applyBorder="1" applyAlignment="1" applyProtection="1">
      <alignment horizontal="center"/>
      <protection hidden="1"/>
    </xf>
    <xf numFmtId="0" fontId="41" fillId="0" borderId="0" xfId="2" applyFont="1" applyFill="1" applyBorder="1" applyAlignment="1" applyProtection="1">
      <alignment horizontal="center"/>
      <protection locked="0" hidden="1"/>
    </xf>
    <xf numFmtId="0" fontId="42" fillId="0" borderId="0" xfId="2" applyFont="1" applyFill="1" applyBorder="1" applyAlignment="1" applyProtection="1">
      <alignment horizontal="center"/>
      <protection locked="0" hidden="1"/>
    </xf>
    <xf numFmtId="0" fontId="24" fillId="0" borderId="0" xfId="2" applyFont="1" applyFill="1" applyAlignment="1" applyProtection="1">
      <alignment vertical="center"/>
      <protection locked="0" hidden="1"/>
    </xf>
    <xf numFmtId="0" fontId="24" fillId="0" borderId="5" xfId="2" applyFont="1" applyFill="1" applyBorder="1" applyAlignment="1" applyProtection="1">
      <alignment vertical="center"/>
      <protection locked="0" hidden="1"/>
    </xf>
    <xf numFmtId="166" fontId="43" fillId="3" borderId="0" xfId="20" applyNumberFormat="1" applyFont="1" applyFill="1" applyBorder="1" applyAlignment="1" applyProtection="1">
      <alignment horizontal="center" vertical="center"/>
      <protection locked="0" hidden="1"/>
    </xf>
    <xf numFmtId="0" fontId="30" fillId="0" borderId="0" xfId="2" applyFont="1" applyFill="1" applyBorder="1" applyAlignment="1" applyProtection="1">
      <alignment vertical="center"/>
      <protection hidden="1"/>
    </xf>
    <xf numFmtId="0" fontId="44" fillId="3" borderId="0" xfId="2" applyFont="1" applyFill="1" applyBorder="1" applyAlignment="1">
      <alignment horizontal="center" vertical="center"/>
    </xf>
    <xf numFmtId="0" fontId="45" fillId="0" borderId="0" xfId="2" applyFont="1" applyFill="1" applyBorder="1" applyAlignment="1" applyProtection="1">
      <alignment vertical="center"/>
      <protection hidden="1"/>
    </xf>
    <xf numFmtId="0" fontId="43" fillId="0" borderId="0" xfId="2" applyFont="1" applyFill="1" applyBorder="1" applyAlignment="1" applyProtection="1">
      <alignment horizontal="center" vertical="center"/>
      <protection hidden="1"/>
    </xf>
    <xf numFmtId="0" fontId="25" fillId="0" borderId="9" xfId="2" applyFont="1" applyFill="1" applyBorder="1" applyAlignment="1" applyProtection="1">
      <alignment vertical="center"/>
      <protection locked="0" hidden="1"/>
    </xf>
    <xf numFmtId="0" fontId="25" fillId="0" borderId="0" xfId="2" applyFont="1" applyFill="1" applyAlignment="1" applyProtection="1">
      <alignment vertical="center"/>
      <protection locked="0" hidden="1"/>
    </xf>
    <xf numFmtId="0" fontId="25" fillId="0" borderId="0" xfId="2" applyFont="1" applyAlignment="1" applyProtection="1">
      <alignment vertical="center"/>
      <protection locked="0" hidden="1"/>
    </xf>
    <xf numFmtId="0" fontId="27" fillId="0" borderId="0" xfId="2" applyFont="1" applyFill="1" applyAlignment="1" applyProtection="1">
      <alignment vertical="center"/>
      <protection locked="0" hidden="1"/>
    </xf>
    <xf numFmtId="0" fontId="24" fillId="0" borderId="0" xfId="2" applyFont="1" applyAlignment="1" applyProtection="1">
      <alignment vertical="center"/>
      <protection locked="0" hidden="1"/>
    </xf>
    <xf numFmtId="0" fontId="24" fillId="0" borderId="5" xfId="2" applyFont="1" applyFill="1" applyBorder="1" applyProtection="1">
      <protection locked="0" hidden="1"/>
    </xf>
    <xf numFmtId="0" fontId="25" fillId="0" borderId="0" xfId="2" applyFont="1" applyFill="1" applyBorder="1" applyAlignment="1" applyProtection="1">
      <alignment horizontal="right"/>
      <protection locked="0" hidden="1"/>
    </xf>
    <xf numFmtId="0" fontId="25" fillId="0" borderId="0" xfId="2" applyFont="1" applyFill="1" applyBorder="1" applyProtection="1">
      <protection locked="0" hidden="1"/>
    </xf>
    <xf numFmtId="0" fontId="46" fillId="0" borderId="0" xfId="2" applyFont="1" applyFill="1" applyBorder="1" applyAlignment="1" applyProtection="1">
      <protection hidden="1"/>
    </xf>
    <xf numFmtId="166" fontId="25" fillId="0" borderId="17" xfId="20" applyNumberFormat="1" applyFont="1" applyFill="1" applyBorder="1" applyAlignment="1" applyProtection="1">
      <protection locked="0" hidden="1"/>
    </xf>
    <xf numFmtId="165" fontId="25" fillId="0" borderId="17" xfId="2" applyNumberFormat="1" applyFont="1" applyFill="1" applyBorder="1" applyAlignment="1" applyProtection="1">
      <protection hidden="1"/>
    </xf>
    <xf numFmtId="165" fontId="26" fillId="0" borderId="17" xfId="2" applyNumberFormat="1" applyFont="1" applyFill="1" applyBorder="1" applyAlignment="1" applyProtection="1">
      <protection hidden="1"/>
    </xf>
    <xf numFmtId="0" fontId="25" fillId="0" borderId="0" xfId="2" applyFont="1" applyFill="1" applyBorder="1" applyAlignment="1" applyProtection="1">
      <protection hidden="1"/>
    </xf>
    <xf numFmtId="0" fontId="25" fillId="0" borderId="9" xfId="2" applyFont="1" applyFill="1" applyBorder="1" applyProtection="1">
      <protection locked="0" hidden="1"/>
    </xf>
    <xf numFmtId="0" fontId="47" fillId="0" borderId="0" xfId="2" applyFont="1" applyFill="1" applyAlignment="1" applyProtection="1">
      <alignment vertical="center"/>
      <protection locked="0" hidden="1"/>
    </xf>
    <xf numFmtId="0" fontId="47" fillId="0" borderId="5" xfId="2" applyFont="1" applyFill="1" applyBorder="1" applyAlignment="1" applyProtection="1">
      <alignment vertical="center"/>
      <protection locked="0" hidden="1"/>
    </xf>
    <xf numFmtId="167" fontId="48" fillId="0" borderId="10" xfId="2" applyNumberFormat="1" applyFont="1" applyFill="1" applyBorder="1" applyAlignment="1" applyProtection="1">
      <alignment horizontal="center" vertical="center"/>
      <protection locked="0" hidden="1"/>
    </xf>
    <xf numFmtId="0" fontId="49" fillId="0" borderId="0" xfId="2" applyFont="1" applyFill="1" applyBorder="1" applyAlignment="1" applyProtection="1">
      <alignment vertical="center"/>
      <protection locked="0" hidden="1"/>
    </xf>
    <xf numFmtId="164" fontId="13" fillId="0" borderId="10" xfId="1" applyFont="1" applyFill="1" applyBorder="1" applyAlignment="1" applyProtection="1">
      <alignment vertical="center"/>
      <protection hidden="1"/>
    </xf>
    <xf numFmtId="0" fontId="50" fillId="0" borderId="19" xfId="2" applyNumberFormat="1" applyFont="1" applyFill="1" applyBorder="1" applyAlignment="1" applyProtection="1">
      <alignment vertical="center"/>
      <protection hidden="1"/>
    </xf>
    <xf numFmtId="167" fontId="51" fillId="0" borderId="20" xfId="2" applyNumberFormat="1" applyFont="1" applyFill="1" applyBorder="1" applyAlignment="1" applyProtection="1">
      <alignment horizontal="center" vertical="center"/>
      <protection hidden="1"/>
    </xf>
    <xf numFmtId="0" fontId="48" fillId="0" borderId="0" xfId="2" applyFont="1" applyFill="1" applyBorder="1" applyAlignment="1" applyProtection="1">
      <alignment vertical="center"/>
      <protection hidden="1"/>
    </xf>
    <xf numFmtId="167" fontId="52" fillId="0" borderId="10" xfId="2" applyNumberFormat="1" applyFont="1" applyFill="1" applyBorder="1" applyAlignment="1" applyProtection="1">
      <alignment horizontal="center" vertical="center"/>
      <protection locked="0" hidden="1"/>
    </xf>
    <xf numFmtId="0" fontId="53" fillId="0" borderId="9" xfId="2" applyFont="1" applyFill="1" applyBorder="1" applyAlignment="1" applyProtection="1">
      <alignment vertical="center"/>
      <protection locked="0" hidden="1"/>
    </xf>
    <xf numFmtId="0" fontId="53" fillId="0" borderId="0" xfId="2" applyFont="1" applyFill="1" applyAlignment="1" applyProtection="1">
      <alignment vertical="center"/>
      <protection locked="0" hidden="1"/>
    </xf>
    <xf numFmtId="0" fontId="53" fillId="0" borderId="0" xfId="2" applyFont="1" applyAlignment="1" applyProtection="1">
      <alignment vertical="center"/>
      <protection locked="0" hidden="1"/>
    </xf>
    <xf numFmtId="3" fontId="27" fillId="0" borderId="0" xfId="2" applyNumberFormat="1" applyFont="1" applyFill="1" applyAlignment="1" applyProtection="1">
      <alignment vertical="center"/>
      <protection locked="0" hidden="1"/>
    </xf>
    <xf numFmtId="0" fontId="47" fillId="0" borderId="0" xfId="2" applyFont="1" applyAlignment="1" applyProtection="1">
      <alignment vertical="center"/>
      <protection locked="0" hidden="1"/>
    </xf>
    <xf numFmtId="164" fontId="13" fillId="0" borderId="10" xfId="1" applyFont="1" applyFill="1" applyBorder="1" applyAlignment="1">
      <alignment vertical="center"/>
    </xf>
    <xf numFmtId="0" fontId="50" fillId="0" borderId="0" xfId="2" applyFont="1" applyFill="1" applyBorder="1" applyAlignment="1">
      <alignment vertical="center"/>
    </xf>
    <xf numFmtId="167" fontId="51" fillId="0" borderId="21" xfId="2" applyNumberFormat="1" applyFont="1" applyFill="1" applyBorder="1" applyAlignment="1" applyProtection="1">
      <alignment horizontal="center" vertical="center"/>
      <protection hidden="1"/>
    </xf>
    <xf numFmtId="0" fontId="52" fillId="0" borderId="0" xfId="2" applyFont="1" applyFill="1" applyBorder="1" applyAlignment="1" applyProtection="1">
      <alignment vertical="center"/>
      <protection locked="0" hidden="1"/>
    </xf>
    <xf numFmtId="0" fontId="50" fillId="0" borderId="0" xfId="2" applyNumberFormat="1" applyFont="1" applyFill="1" applyBorder="1" applyAlignment="1" applyProtection="1">
      <alignment vertical="center"/>
      <protection hidden="1"/>
    </xf>
    <xf numFmtId="0" fontId="53" fillId="0" borderId="0" xfId="2" applyFont="1" applyFill="1" applyBorder="1" applyAlignment="1" applyProtection="1">
      <alignment vertical="center"/>
      <protection locked="0" hidden="1"/>
    </xf>
    <xf numFmtId="0" fontId="54" fillId="0" borderId="0" xfId="2" applyFont="1" applyFill="1" applyAlignment="1" applyProtection="1">
      <alignment vertical="center"/>
      <protection locked="0" hidden="1"/>
    </xf>
    <xf numFmtId="0" fontId="54" fillId="0" borderId="5" xfId="2" applyFont="1" applyFill="1" applyBorder="1" applyAlignment="1" applyProtection="1">
      <alignment vertical="center"/>
      <protection locked="0" hidden="1"/>
    </xf>
    <xf numFmtId="0" fontId="55" fillId="0" borderId="0" xfId="2" applyFont="1" applyFill="1" applyBorder="1" applyAlignment="1" applyProtection="1">
      <alignment vertical="center"/>
      <protection locked="0" hidden="1"/>
    </xf>
    <xf numFmtId="0" fontId="41" fillId="0" borderId="9" xfId="2" applyFont="1" applyFill="1" applyBorder="1" applyAlignment="1" applyProtection="1">
      <alignment vertical="center"/>
      <protection locked="0" hidden="1"/>
    </xf>
    <xf numFmtId="0" fontId="41" fillId="0" borderId="0" xfId="2" applyFont="1" applyFill="1" applyBorder="1" applyAlignment="1" applyProtection="1">
      <alignment vertical="center"/>
      <protection hidden="1"/>
    </xf>
    <xf numFmtId="0" fontId="56" fillId="0" borderId="0" xfId="2" applyFont="1" applyFill="1" applyBorder="1" applyAlignment="1" applyProtection="1">
      <alignment vertical="center"/>
      <protection hidden="1"/>
    </xf>
    <xf numFmtId="0" fontId="57" fillId="0" borderId="0" xfId="2" applyFont="1" applyFill="1" applyBorder="1" applyAlignment="1" applyProtection="1">
      <alignment vertical="center"/>
      <protection locked="0" hidden="1"/>
    </xf>
    <xf numFmtId="38" fontId="57" fillId="0" borderId="0" xfId="2" applyNumberFormat="1" applyFont="1" applyFill="1" applyBorder="1" applyAlignment="1" applyProtection="1">
      <alignment horizontal="center" vertical="center"/>
      <protection locked="0" hidden="1"/>
    </xf>
    <xf numFmtId="0" fontId="41" fillId="0" borderId="0" xfId="2" applyFont="1" applyAlignment="1" applyProtection="1">
      <alignment vertical="center"/>
      <protection locked="0" hidden="1"/>
    </xf>
    <xf numFmtId="0" fontId="54" fillId="0" borderId="0" xfId="2" applyFont="1" applyAlignment="1" applyProtection="1">
      <alignment vertical="center"/>
      <protection locked="0" hidden="1"/>
    </xf>
    <xf numFmtId="0" fontId="41" fillId="0" borderId="0" xfId="2" applyFont="1" applyFill="1" applyAlignment="1" applyProtection="1">
      <alignment vertical="center"/>
      <protection locked="0" hidden="1"/>
    </xf>
    <xf numFmtId="0" fontId="54" fillId="0" borderId="0" xfId="2" applyFont="1" applyFill="1" applyProtection="1">
      <protection locked="0" hidden="1"/>
    </xf>
    <xf numFmtId="0" fontId="54" fillId="0" borderId="5" xfId="2" applyFont="1" applyFill="1" applyBorder="1" applyProtection="1">
      <protection locked="0" hidden="1"/>
    </xf>
    <xf numFmtId="3" fontId="49" fillId="0" borderId="0" xfId="2" applyNumberFormat="1" applyFont="1" applyFill="1" applyBorder="1" applyAlignment="1" applyProtection="1">
      <alignment horizontal="right"/>
      <protection hidden="1"/>
    </xf>
    <xf numFmtId="0" fontId="55" fillId="0" borderId="0" xfId="2" applyFont="1" applyFill="1" applyBorder="1" applyProtection="1">
      <protection locked="0" hidden="1"/>
    </xf>
    <xf numFmtId="38" fontId="55" fillId="0" borderId="0" xfId="2" applyNumberFormat="1" applyFont="1" applyFill="1" applyBorder="1" applyAlignment="1" applyProtection="1">
      <protection locked="0" hidden="1"/>
    </xf>
    <xf numFmtId="0" fontId="49" fillId="0" borderId="18" xfId="2" applyFont="1" applyFill="1" applyBorder="1" applyAlignment="1" applyProtection="1">
      <protection hidden="1"/>
    </xf>
    <xf numFmtId="0" fontId="49" fillId="0" borderId="0" xfId="2" applyFont="1" applyFill="1" applyBorder="1" applyAlignment="1" applyProtection="1">
      <protection hidden="1"/>
    </xf>
    <xf numFmtId="0" fontId="58" fillId="0" borderId="0" xfId="2" applyFont="1" applyFill="1" applyBorder="1" applyAlignment="1" applyProtection="1">
      <protection hidden="1"/>
    </xf>
    <xf numFmtId="0" fontId="59" fillId="0" borderId="0" xfId="2" applyFont="1" applyFill="1" applyBorder="1" applyAlignment="1" applyProtection="1">
      <protection hidden="1"/>
    </xf>
    <xf numFmtId="0" fontId="41" fillId="0" borderId="9" xfId="2" applyFont="1" applyFill="1" applyBorder="1" applyProtection="1">
      <protection locked="0" hidden="1"/>
    </xf>
    <xf numFmtId="0" fontId="41" fillId="0" borderId="0" xfId="2" applyFont="1" applyFill="1" applyProtection="1">
      <protection locked="0" hidden="1"/>
    </xf>
    <xf numFmtId="0" fontId="41" fillId="0" borderId="0" xfId="2" applyFont="1" applyProtection="1">
      <protection locked="0" hidden="1"/>
    </xf>
    <xf numFmtId="0" fontId="60" fillId="0" borderId="0" xfId="2" applyFont="1" applyFill="1" applyProtection="1">
      <protection locked="0" hidden="1"/>
    </xf>
    <xf numFmtId="0" fontId="54" fillId="0" borderId="0" xfId="2" applyFont="1" applyProtection="1">
      <protection locked="0" hidden="1"/>
    </xf>
    <xf numFmtId="167" fontId="55" fillId="0" borderId="0" xfId="2" applyNumberFormat="1" applyFont="1" applyAlignment="1" applyProtection="1">
      <alignment vertical="center"/>
      <protection locked="0" hidden="1"/>
    </xf>
    <xf numFmtId="0" fontId="39" fillId="6" borderId="22" xfId="2" applyFont="1" applyFill="1" applyBorder="1" applyAlignment="1" applyProtection="1">
      <alignment horizontal="right" vertical="center"/>
      <protection hidden="1"/>
    </xf>
    <xf numFmtId="0" fontId="39" fillId="6" borderId="23" xfId="2" applyFont="1" applyFill="1" applyBorder="1" applyAlignment="1" applyProtection="1">
      <alignment vertical="center"/>
      <protection hidden="1"/>
    </xf>
    <xf numFmtId="167" fontId="52" fillId="6" borderId="22" xfId="2" applyNumberFormat="1" applyFont="1" applyFill="1" applyBorder="1" applyAlignment="1" applyProtection="1">
      <alignment horizontal="right" vertical="center"/>
      <protection hidden="1"/>
    </xf>
    <xf numFmtId="167" fontId="61" fillId="6" borderId="22" xfId="2" applyNumberFormat="1" applyFont="1" applyFill="1" applyBorder="1" applyAlignment="1" applyProtection="1">
      <alignment horizontal="right" vertical="center"/>
      <protection hidden="1"/>
    </xf>
    <xf numFmtId="0" fontId="52" fillId="6" borderId="0" xfId="2" applyFont="1" applyFill="1" applyBorder="1" applyAlignment="1" applyProtection="1">
      <alignment vertical="center"/>
      <protection hidden="1"/>
    </xf>
    <xf numFmtId="167" fontId="52" fillId="6" borderId="22" xfId="2" applyNumberFormat="1" applyFont="1" applyFill="1" applyBorder="1" applyAlignment="1" applyProtection="1">
      <alignment vertical="center"/>
      <protection hidden="1"/>
    </xf>
    <xf numFmtId="3" fontId="48" fillId="0" borderId="0" xfId="2" applyNumberFormat="1" applyFont="1" applyFill="1" applyAlignment="1" applyProtection="1">
      <alignment vertical="center"/>
      <protection locked="0" hidden="1"/>
    </xf>
    <xf numFmtId="169" fontId="49" fillId="0" borderId="0" xfId="2" applyNumberFormat="1" applyFont="1" applyFill="1" applyBorder="1" applyAlignment="1" applyProtection="1">
      <alignment horizontal="right"/>
      <protection locked="0" hidden="1"/>
    </xf>
    <xf numFmtId="0" fontId="13" fillId="0" borderId="0" xfId="2" applyFont="1" applyFill="1" applyBorder="1" applyAlignment="1">
      <alignment horizontal="right"/>
    </xf>
    <xf numFmtId="38" fontId="62" fillId="0" borderId="0" xfId="2" applyNumberFormat="1" applyFont="1" applyFill="1" applyBorder="1" applyAlignment="1" applyProtection="1">
      <protection locked="0" hidden="1"/>
    </xf>
    <xf numFmtId="38" fontId="63" fillId="0" borderId="0" xfId="2" applyNumberFormat="1" applyFont="1" applyFill="1" applyBorder="1" applyAlignment="1" applyProtection="1">
      <protection locked="0" hidden="1"/>
    </xf>
    <xf numFmtId="0" fontId="62" fillId="0" borderId="0" xfId="2" applyFont="1" applyFill="1" applyBorder="1" applyAlignment="1" applyProtection="1">
      <protection locked="0" hidden="1"/>
    </xf>
    <xf numFmtId="169" fontId="62" fillId="0" borderId="0" xfId="2" applyNumberFormat="1" applyFont="1" applyFill="1" applyBorder="1" applyAlignment="1" applyProtection="1">
      <protection locked="0" hidden="1"/>
    </xf>
    <xf numFmtId="167" fontId="52" fillId="0" borderId="22" xfId="2" applyNumberFormat="1" applyFont="1" applyFill="1" applyBorder="1" applyAlignment="1" applyProtection="1">
      <alignment vertical="center"/>
      <protection hidden="1"/>
    </xf>
    <xf numFmtId="0" fontId="39" fillId="0" borderId="22" xfId="2" applyFont="1" applyFill="1" applyBorder="1" applyAlignment="1" applyProtection="1">
      <alignment horizontal="right" vertical="center"/>
      <protection hidden="1"/>
    </xf>
    <xf numFmtId="0" fontId="39" fillId="0" borderId="23" xfId="2" applyFont="1" applyFill="1" applyBorder="1" applyAlignment="1" applyProtection="1">
      <alignment horizontal="right" vertical="center"/>
      <protection hidden="1"/>
    </xf>
    <xf numFmtId="167" fontId="52" fillId="0" borderId="22" xfId="2" applyNumberFormat="1" applyFont="1" applyFill="1" applyBorder="1" applyAlignment="1" applyProtection="1">
      <alignment horizontal="right" vertical="center"/>
      <protection hidden="1"/>
    </xf>
    <xf numFmtId="167" fontId="61" fillId="0" borderId="22" xfId="2" applyNumberFormat="1" applyFont="1" applyFill="1" applyBorder="1" applyAlignment="1" applyProtection="1">
      <alignment horizontal="right" vertical="center"/>
      <protection hidden="1"/>
    </xf>
    <xf numFmtId="0" fontId="64" fillId="0" borderId="0" xfId="2" applyFont="1" applyFill="1" applyBorder="1" applyAlignment="1" applyProtection="1">
      <alignment vertical="center"/>
      <protection hidden="1"/>
    </xf>
    <xf numFmtId="0" fontId="49" fillId="0" borderId="0" xfId="2" applyFont="1" applyFill="1" applyBorder="1"/>
    <xf numFmtId="38" fontId="65" fillId="0" borderId="0" xfId="2" applyNumberFormat="1" applyFont="1" applyFill="1" applyBorder="1" applyAlignment="1" applyProtection="1">
      <protection locked="0" hidden="1"/>
    </xf>
    <xf numFmtId="0" fontId="55" fillId="0" borderId="0" xfId="2" applyFont="1" applyFill="1" applyBorder="1" applyAlignment="1" applyProtection="1">
      <protection locked="0" hidden="1"/>
    </xf>
    <xf numFmtId="169" fontId="38" fillId="0" borderId="0" xfId="2" applyNumberFormat="1" applyFont="1" applyFill="1" applyBorder="1" applyAlignment="1" applyProtection="1">
      <protection locked="0" hidden="1"/>
    </xf>
    <xf numFmtId="0" fontId="66" fillId="0" borderId="0" xfId="2" applyFont="1" applyFill="1" applyBorder="1" applyProtection="1">
      <protection locked="0" hidden="1"/>
    </xf>
    <xf numFmtId="0" fontId="67" fillId="0" borderId="0" xfId="2" applyFont="1" applyFill="1" applyBorder="1" applyAlignment="1" applyProtection="1">
      <alignment vertical="center"/>
      <protection hidden="1"/>
    </xf>
    <xf numFmtId="3" fontId="48" fillId="0" borderId="0" xfId="2" applyNumberFormat="1" applyFont="1" applyFill="1" applyProtection="1">
      <protection locked="0" hidden="1"/>
    </xf>
    <xf numFmtId="0" fontId="54" fillId="0" borderId="0" xfId="2" applyFont="1" applyFill="1" applyAlignment="1" applyProtection="1">
      <protection locked="0" hidden="1"/>
    </xf>
    <xf numFmtId="0" fontId="54" fillId="0" borderId="5" xfId="2" applyFont="1" applyFill="1" applyBorder="1" applyAlignment="1" applyProtection="1">
      <protection locked="0" hidden="1"/>
    </xf>
    <xf numFmtId="38" fontId="49" fillId="0" borderId="0" xfId="2" applyNumberFormat="1" applyFont="1" applyFill="1" applyBorder="1" applyAlignment="1" applyProtection="1">
      <alignment horizontal="right"/>
      <protection locked="0" hidden="1"/>
    </xf>
    <xf numFmtId="0" fontId="68" fillId="0" borderId="0" xfId="21" applyFont="1" applyBorder="1" applyAlignment="1">
      <alignment horizontal="left"/>
    </xf>
    <xf numFmtId="0" fontId="52" fillId="0" borderId="0" xfId="2" applyFont="1" applyFill="1" applyBorder="1" applyAlignment="1" applyProtection="1">
      <protection hidden="1"/>
    </xf>
    <xf numFmtId="38" fontId="38" fillId="0" borderId="0" xfId="2" applyNumberFormat="1" applyFont="1" applyFill="1" applyBorder="1" applyAlignment="1" applyProtection="1">
      <protection locked="0" hidden="1"/>
    </xf>
    <xf numFmtId="0" fontId="41" fillId="0" borderId="9" xfId="2" applyFont="1" applyFill="1" applyBorder="1" applyAlignment="1" applyProtection="1">
      <protection locked="0" hidden="1"/>
    </xf>
    <xf numFmtId="0" fontId="41" fillId="0" borderId="0" xfId="2" applyFont="1" applyFill="1" applyAlignment="1" applyProtection="1">
      <protection locked="0" hidden="1"/>
    </xf>
    <xf numFmtId="0" fontId="41" fillId="0" borderId="0" xfId="2" applyFont="1" applyAlignment="1" applyProtection="1">
      <protection locked="0" hidden="1"/>
    </xf>
    <xf numFmtId="3" fontId="27" fillId="0" borderId="0" xfId="2" applyNumberFormat="1" applyFont="1" applyFill="1" applyAlignment="1" applyProtection="1">
      <protection locked="0" hidden="1"/>
    </xf>
    <xf numFmtId="0" fontId="54" fillId="0" borderId="0" xfId="2" applyFont="1" applyAlignment="1" applyProtection="1">
      <protection locked="0" hidden="1"/>
    </xf>
    <xf numFmtId="164" fontId="39" fillId="0" borderId="10" xfId="1" applyFont="1" applyFill="1" applyBorder="1" applyAlignment="1" applyProtection="1">
      <alignment vertical="center"/>
      <protection hidden="1"/>
    </xf>
    <xf numFmtId="0" fontId="69" fillId="0" borderId="0" xfId="2" applyFont="1" applyFill="1" applyBorder="1" applyAlignment="1" applyProtection="1">
      <alignment vertical="center"/>
      <protection hidden="1"/>
    </xf>
    <xf numFmtId="38" fontId="48" fillId="0" borderId="21" xfId="2" applyNumberFormat="1" applyFont="1" applyFill="1" applyBorder="1" applyAlignment="1" applyProtection="1">
      <alignment horizontal="center" vertical="center"/>
      <protection locked="0" hidden="1"/>
    </xf>
    <xf numFmtId="167" fontId="51" fillId="0" borderId="21" xfId="5" applyNumberFormat="1" applyFont="1" applyFill="1" applyBorder="1" applyAlignment="1" applyProtection="1">
      <alignment horizontal="right" vertical="center"/>
      <protection locked="0" hidden="1"/>
    </xf>
    <xf numFmtId="38" fontId="51" fillId="0" borderId="21" xfId="2" applyNumberFormat="1" applyFont="1" applyFill="1" applyBorder="1" applyAlignment="1" applyProtection="1">
      <alignment horizontal="center" vertical="center"/>
      <protection locked="0" hidden="1"/>
    </xf>
    <xf numFmtId="167" fontId="52" fillId="0" borderId="10" xfId="2" applyNumberFormat="1" applyFont="1" applyFill="1" applyBorder="1" applyAlignment="1" applyProtection="1">
      <alignment vertical="center"/>
      <protection locked="0" hidden="1"/>
    </xf>
    <xf numFmtId="167" fontId="27" fillId="0" borderId="0" xfId="5" applyNumberFormat="1" applyFont="1" applyFill="1" applyAlignment="1" applyProtection="1">
      <alignment vertical="center"/>
      <protection locked="0" hidden="1"/>
    </xf>
    <xf numFmtId="0" fontId="50" fillId="0" borderId="0" xfId="2" applyFont="1" applyFill="1" applyBorder="1" applyAlignment="1" applyProtection="1">
      <alignment vertical="center"/>
      <protection hidden="1"/>
    </xf>
    <xf numFmtId="0" fontId="38" fillId="0" borderId="0" xfId="2" applyFont="1" applyFill="1" applyBorder="1" applyAlignment="1" applyProtection="1">
      <alignment vertical="center"/>
      <protection hidden="1"/>
    </xf>
    <xf numFmtId="38" fontId="39" fillId="0" borderId="10" xfId="2" applyNumberFormat="1" applyFont="1" applyFill="1" applyBorder="1" applyAlignment="1" applyProtection="1">
      <alignment horizontal="right" vertical="center"/>
      <protection locked="0" hidden="1"/>
    </xf>
    <xf numFmtId="38" fontId="70" fillId="0" borderId="0" xfId="2" applyNumberFormat="1" applyFont="1" applyFill="1" applyBorder="1" applyAlignment="1" applyProtection="1">
      <alignment horizontal="right" vertical="center"/>
      <protection locked="0" hidden="1"/>
    </xf>
    <xf numFmtId="38" fontId="52" fillId="0" borderId="21" xfId="2" applyNumberFormat="1" applyFont="1" applyFill="1" applyBorder="1" applyAlignment="1" applyProtection="1">
      <alignment horizontal="center" vertical="center"/>
      <protection locked="0" hidden="1"/>
    </xf>
    <xf numFmtId="167" fontId="61" fillId="0" borderId="24" xfId="2" applyNumberFormat="1" applyFont="1" applyFill="1" applyBorder="1" applyAlignment="1" applyProtection="1">
      <alignment horizontal="center" vertical="center"/>
      <protection hidden="1"/>
    </xf>
    <xf numFmtId="38" fontId="61" fillId="0" borderId="21" xfId="2" applyNumberFormat="1" applyFont="1" applyFill="1" applyBorder="1" applyAlignment="1" applyProtection="1">
      <alignment horizontal="center" vertical="center"/>
      <protection locked="0" hidden="1"/>
    </xf>
    <xf numFmtId="0" fontId="54" fillId="0" borderId="9" xfId="2" applyFont="1" applyFill="1" applyBorder="1" applyProtection="1">
      <protection locked="0" hidden="1"/>
    </xf>
    <xf numFmtId="0" fontId="54" fillId="0" borderId="0" xfId="2" applyFont="1" applyFill="1" applyBorder="1" applyProtection="1">
      <protection locked="0" hidden="1"/>
    </xf>
    <xf numFmtId="3" fontId="71" fillId="0" borderId="0" xfId="2" applyNumberFormat="1" applyFont="1" applyFill="1" applyBorder="1" applyAlignment="1" applyProtection="1">
      <alignment horizontal="right"/>
      <protection locked="0" hidden="1"/>
    </xf>
    <xf numFmtId="38" fontId="72" fillId="0" borderId="0" xfId="2" applyNumberFormat="1" applyFont="1" applyFill="1" applyBorder="1" applyAlignment="1" applyProtection="1">
      <alignment horizontal="right"/>
      <protection locked="0" hidden="1"/>
    </xf>
    <xf numFmtId="38" fontId="70" fillId="0" borderId="0" xfId="2" applyNumberFormat="1" applyFont="1" applyFill="1" applyBorder="1" applyAlignment="1" applyProtection="1">
      <alignment horizontal="right"/>
      <protection locked="0" hidden="1"/>
    </xf>
    <xf numFmtId="38" fontId="71" fillId="0" borderId="0" xfId="2" applyNumberFormat="1" applyFont="1" applyFill="1" applyBorder="1" applyAlignment="1" applyProtection="1">
      <alignment horizontal="center"/>
      <protection locked="0" hidden="1"/>
    </xf>
    <xf numFmtId="38" fontId="73" fillId="0" borderId="0" xfId="2" applyNumberFormat="1" applyFont="1" applyFill="1" applyBorder="1" applyAlignment="1" applyProtection="1">
      <protection locked="0" hidden="1"/>
    </xf>
    <xf numFmtId="38" fontId="73" fillId="0" borderId="0" xfId="2" applyNumberFormat="1" applyFont="1" applyFill="1" applyBorder="1" applyAlignment="1" applyProtection="1">
      <alignment horizontal="center"/>
      <protection locked="0" hidden="1"/>
    </xf>
    <xf numFmtId="167" fontId="52" fillId="0" borderId="0" xfId="2" applyNumberFormat="1" applyFont="1" applyFill="1" applyBorder="1" applyAlignment="1" applyProtection="1">
      <protection locked="0" hidden="1"/>
    </xf>
    <xf numFmtId="0" fontId="41" fillId="0" borderId="9" xfId="2" applyFont="1" applyBorder="1" applyProtection="1">
      <protection locked="0" hidden="1"/>
    </xf>
    <xf numFmtId="0" fontId="41" fillId="0" borderId="0" xfId="2" applyFont="1" applyFill="1" applyBorder="1" applyProtection="1">
      <protection locked="0" hidden="1"/>
    </xf>
    <xf numFmtId="0" fontId="41" fillId="0" borderId="0" xfId="2" applyFont="1" applyBorder="1" applyProtection="1">
      <protection locked="0" hidden="1"/>
    </xf>
    <xf numFmtId="0" fontId="60" fillId="0" borderId="0" xfId="2" applyFont="1" applyFill="1" applyBorder="1" applyProtection="1">
      <protection locked="0" hidden="1"/>
    </xf>
    <xf numFmtId="0" fontId="54" fillId="0" borderId="0" xfId="2" applyFont="1" applyBorder="1" applyProtection="1">
      <protection locked="0" hidden="1"/>
    </xf>
    <xf numFmtId="0" fontId="48" fillId="0" borderId="0" xfId="2" applyFont="1" applyFill="1" applyBorder="1" applyAlignment="1" applyProtection="1">
      <alignment vertical="center"/>
      <protection locked="0" hidden="1"/>
    </xf>
    <xf numFmtId="167" fontId="52" fillId="0" borderId="10" xfId="2" applyNumberFormat="1" applyFont="1" applyFill="1" applyBorder="1" applyAlignment="1" applyProtection="1">
      <alignment horizontal="right" vertical="center"/>
      <protection locked="0" hidden="1"/>
    </xf>
    <xf numFmtId="0" fontId="47" fillId="0" borderId="9" xfId="2" applyFont="1" applyFill="1" applyBorder="1" applyAlignment="1" applyProtection="1">
      <alignment vertical="center"/>
      <protection locked="0" hidden="1"/>
    </xf>
    <xf numFmtId="0" fontId="47" fillId="0" borderId="11" xfId="2" applyFont="1" applyFill="1" applyBorder="1" applyAlignment="1" applyProtection="1">
      <alignment vertical="center"/>
      <protection locked="0" hidden="1"/>
    </xf>
    <xf numFmtId="0" fontId="47" fillId="0" borderId="0" xfId="2" applyFont="1" applyFill="1" applyBorder="1" applyAlignment="1" applyProtection="1">
      <alignment vertical="center"/>
      <protection locked="0" hidden="1"/>
    </xf>
    <xf numFmtId="0" fontId="41" fillId="0" borderId="9" xfId="2" applyFont="1" applyBorder="1" applyAlignment="1" applyProtection="1">
      <alignment vertical="center"/>
      <protection locked="0" hidden="1"/>
    </xf>
    <xf numFmtId="0" fontId="47" fillId="0" borderId="0" xfId="2" applyFont="1" applyFill="1" applyBorder="1" applyProtection="1">
      <protection locked="0" hidden="1"/>
    </xf>
    <xf numFmtId="3" fontId="74" fillId="0" borderId="0" xfId="2" applyNumberFormat="1" applyFont="1" applyFill="1" applyBorder="1" applyAlignment="1" applyProtection="1">
      <alignment horizontal="right"/>
      <protection locked="0" hidden="1"/>
    </xf>
    <xf numFmtId="0" fontId="49" fillId="0" borderId="0" xfId="2" applyFont="1" applyFill="1" applyBorder="1" applyProtection="1">
      <protection locked="0" hidden="1"/>
    </xf>
    <xf numFmtId="0" fontId="50" fillId="0" borderId="0" xfId="2" applyFont="1" applyFill="1" applyBorder="1"/>
    <xf numFmtId="38" fontId="74" fillId="0" borderId="0" xfId="2" applyNumberFormat="1" applyFont="1" applyFill="1" applyBorder="1" applyAlignment="1" applyProtection="1">
      <alignment horizontal="center"/>
      <protection locked="0" hidden="1"/>
    </xf>
    <xf numFmtId="38" fontId="74" fillId="0" borderId="0" xfId="2" applyNumberFormat="1" applyFont="1" applyFill="1" applyBorder="1" applyAlignment="1" applyProtection="1">
      <alignment horizontal="right"/>
      <protection locked="0" hidden="1"/>
    </xf>
    <xf numFmtId="38" fontId="75" fillId="0" borderId="0" xfId="2" applyNumberFormat="1" applyFont="1" applyFill="1" applyBorder="1" applyAlignment="1" applyProtection="1">
      <alignment horizontal="center"/>
      <protection locked="0" hidden="1"/>
    </xf>
    <xf numFmtId="0" fontId="48" fillId="0" borderId="0" xfId="2" applyFont="1" applyFill="1" applyBorder="1" applyAlignment="1" applyProtection="1">
      <protection locked="0" hidden="1"/>
    </xf>
    <xf numFmtId="167" fontId="52" fillId="0" borderId="0" xfId="2" applyNumberFormat="1" applyFont="1" applyFill="1" applyBorder="1" applyAlignment="1" applyProtection="1">
      <alignment horizontal="right"/>
      <protection locked="0" hidden="1"/>
    </xf>
    <xf numFmtId="0" fontId="53" fillId="0" borderId="9" xfId="2" applyFont="1" applyBorder="1" applyProtection="1">
      <protection locked="0" hidden="1"/>
    </xf>
    <xf numFmtId="0" fontId="53" fillId="0" borderId="0" xfId="2" applyFont="1" applyFill="1" applyBorder="1" applyProtection="1">
      <protection locked="0" hidden="1"/>
    </xf>
    <xf numFmtId="0" fontId="53" fillId="0" borderId="0" xfId="2" applyFont="1" applyBorder="1" applyProtection="1">
      <protection locked="0" hidden="1"/>
    </xf>
    <xf numFmtId="167" fontId="27" fillId="0" borderId="0" xfId="5" applyNumberFormat="1" applyFont="1" applyFill="1" applyProtection="1">
      <protection locked="0" hidden="1"/>
    </xf>
    <xf numFmtId="0" fontId="47" fillId="0" borderId="0" xfId="2" applyFont="1" applyBorder="1" applyProtection="1">
      <protection locked="0" hidden="1"/>
    </xf>
    <xf numFmtId="167" fontId="48" fillId="0" borderId="21" xfId="5" applyNumberFormat="1" applyFont="1" applyFill="1" applyBorder="1" applyAlignment="1" applyProtection="1">
      <alignment horizontal="right" vertical="center"/>
      <protection locked="0" hidden="1"/>
    </xf>
    <xf numFmtId="38" fontId="48" fillId="0" borderId="24" xfId="2" applyNumberFormat="1" applyFont="1" applyFill="1" applyBorder="1" applyAlignment="1" applyProtection="1">
      <alignment horizontal="center" vertical="center"/>
      <protection locked="0" hidden="1"/>
    </xf>
    <xf numFmtId="168" fontId="51" fillId="0" borderId="21" xfId="1" applyNumberFormat="1" applyFont="1" applyFill="1" applyBorder="1" applyAlignment="1" applyProtection="1">
      <alignment horizontal="center" vertical="center"/>
      <protection locked="0" hidden="1"/>
    </xf>
    <xf numFmtId="167" fontId="76" fillId="0" borderId="0" xfId="2" applyNumberFormat="1" applyFont="1" applyAlignment="1" applyProtection="1">
      <alignment vertical="center"/>
      <protection locked="0" hidden="1"/>
    </xf>
    <xf numFmtId="167" fontId="48" fillId="0" borderId="0" xfId="2" applyNumberFormat="1" applyFont="1" applyFill="1" applyBorder="1" applyAlignment="1" applyProtection="1">
      <alignment horizontal="center" vertical="center"/>
      <protection locked="0" hidden="1"/>
    </xf>
    <xf numFmtId="38" fontId="74" fillId="0" borderId="0" xfId="2" applyNumberFormat="1" applyFont="1" applyFill="1" applyBorder="1" applyAlignment="1" applyProtection="1">
      <alignment horizontal="center" vertical="center"/>
      <protection locked="0" hidden="1"/>
    </xf>
    <xf numFmtId="167" fontId="74" fillId="0" borderId="0" xfId="5" applyNumberFormat="1" applyFont="1" applyFill="1" applyBorder="1" applyAlignment="1" applyProtection="1">
      <alignment horizontal="right" vertical="center"/>
      <protection locked="0" hidden="1"/>
    </xf>
    <xf numFmtId="167" fontId="52" fillId="0" borderId="0" xfId="2" applyNumberFormat="1" applyFont="1" applyFill="1" applyBorder="1" applyAlignment="1" applyProtection="1">
      <alignment vertical="center"/>
      <protection locked="0" hidden="1"/>
    </xf>
    <xf numFmtId="0" fontId="53" fillId="0" borderId="11" xfId="2" applyFont="1" applyFill="1" applyBorder="1" applyAlignment="1" applyProtection="1">
      <alignment vertical="center"/>
      <protection locked="0" hidden="1"/>
    </xf>
    <xf numFmtId="0" fontId="53" fillId="0" borderId="0" xfId="2" applyFont="1" applyBorder="1" applyAlignment="1" applyProtection="1">
      <alignment vertical="center"/>
      <protection locked="0" hidden="1"/>
    </xf>
    <xf numFmtId="167" fontId="27" fillId="0" borderId="0" xfId="5" applyNumberFormat="1" applyFont="1" applyFill="1" applyBorder="1" applyAlignment="1" applyProtection="1">
      <alignment vertical="center"/>
      <protection locked="0" hidden="1"/>
    </xf>
    <xf numFmtId="0" fontId="47" fillId="0" borderId="0" xfId="2" applyFont="1" applyBorder="1" applyAlignment="1" applyProtection="1">
      <alignment vertical="center"/>
      <protection locked="0" hidden="1"/>
    </xf>
    <xf numFmtId="0" fontId="47" fillId="0" borderId="2" xfId="2" applyFont="1" applyFill="1" applyBorder="1" applyAlignment="1" applyProtection="1">
      <alignment vertical="center"/>
      <protection locked="0" hidden="1"/>
    </xf>
    <xf numFmtId="0" fontId="47" fillId="0" borderId="3" xfId="2" applyFont="1" applyFill="1" applyBorder="1" applyAlignment="1" applyProtection="1">
      <alignment vertical="center"/>
      <protection locked="0" hidden="1"/>
    </xf>
    <xf numFmtId="167" fontId="48" fillId="0" borderId="3" xfId="2" applyNumberFormat="1" applyFont="1" applyFill="1" applyBorder="1" applyAlignment="1" applyProtection="1">
      <alignment horizontal="center" vertical="center"/>
      <protection locked="0" hidden="1"/>
    </xf>
    <xf numFmtId="0" fontId="49" fillId="0" borderId="3" xfId="2" applyFont="1" applyFill="1" applyBorder="1" applyAlignment="1" applyProtection="1">
      <alignment vertical="center"/>
      <protection locked="0" hidden="1"/>
    </xf>
    <xf numFmtId="0" fontId="50" fillId="0" borderId="3" xfId="2" applyFont="1" applyFill="1" applyBorder="1" applyAlignment="1">
      <alignment vertical="center"/>
    </xf>
    <xf numFmtId="38" fontId="74" fillId="0" borderId="3" xfId="2" applyNumberFormat="1" applyFont="1" applyFill="1" applyBorder="1" applyAlignment="1" applyProtection="1">
      <alignment horizontal="center" vertical="center"/>
      <protection locked="0" hidden="1"/>
    </xf>
    <xf numFmtId="167" fontId="74" fillId="0" borderId="3" xfId="5" applyNumberFormat="1" applyFont="1" applyFill="1" applyBorder="1" applyAlignment="1" applyProtection="1">
      <alignment horizontal="right" vertical="center"/>
      <protection locked="0" hidden="1"/>
    </xf>
    <xf numFmtId="0" fontId="48" fillId="0" borderId="3" xfId="2" applyFont="1" applyFill="1" applyBorder="1" applyAlignment="1" applyProtection="1">
      <alignment vertical="center"/>
      <protection locked="0" hidden="1"/>
    </xf>
    <xf numFmtId="167" fontId="52" fillId="0" borderId="3" xfId="2" applyNumberFormat="1" applyFont="1" applyFill="1" applyBorder="1" applyAlignment="1" applyProtection="1">
      <alignment vertical="center"/>
      <protection locked="0" hidden="1"/>
    </xf>
    <xf numFmtId="0" fontId="53" fillId="0" borderId="4" xfId="2" applyFont="1" applyFill="1" applyBorder="1" applyAlignment="1" applyProtection="1">
      <alignment vertical="center"/>
      <protection locked="0" hidden="1"/>
    </xf>
    <xf numFmtId="0" fontId="53" fillId="0" borderId="2" xfId="2" applyFont="1" applyFill="1" applyBorder="1" applyAlignment="1" applyProtection="1">
      <alignment vertical="center"/>
      <protection locked="0" hidden="1"/>
    </xf>
    <xf numFmtId="0" fontId="37" fillId="0" borderId="18" xfId="2" applyFont="1" applyFill="1" applyBorder="1" applyAlignment="1" applyProtection="1">
      <alignment horizontal="center" vertical="top" wrapText="1"/>
      <protection locked="0" hidden="1"/>
    </xf>
    <xf numFmtId="0" fontId="37" fillId="0" borderId="0" xfId="2" applyFont="1" applyFill="1" applyBorder="1" applyAlignment="1" applyProtection="1">
      <alignment horizontal="center" vertical="top" wrapText="1"/>
      <protection locked="0" hidden="1"/>
    </xf>
    <xf numFmtId="166" fontId="77" fillId="3" borderId="0" xfId="20" applyNumberFormat="1" applyFont="1" applyFill="1" applyBorder="1" applyAlignment="1" applyProtection="1">
      <alignment horizontal="center" vertical="center"/>
      <protection locked="0" hidden="1"/>
    </xf>
    <xf numFmtId="0" fontId="37" fillId="0" borderId="17" xfId="2" applyFont="1" applyFill="1" applyBorder="1" applyAlignment="1" applyProtection="1">
      <alignment vertical="center" wrapText="1"/>
      <protection locked="0" hidden="1"/>
    </xf>
    <xf numFmtId="164" fontId="13" fillId="0" borderId="10" xfId="1" applyFont="1" applyFill="1" applyBorder="1" applyAlignment="1">
      <alignment horizontal="left" vertical="center"/>
    </xf>
    <xf numFmtId="0" fontId="50" fillId="0" borderId="0" xfId="2" applyFont="1" applyFill="1" applyBorder="1" applyAlignment="1">
      <alignment horizontal="left" vertical="center"/>
    </xf>
    <xf numFmtId="38" fontId="48" fillId="0" borderId="21" xfId="2" applyNumberFormat="1" applyFont="1" applyFill="1" applyBorder="1" applyAlignment="1" applyProtection="1">
      <alignment horizontal="right" vertical="center"/>
      <protection locked="0" hidden="1"/>
    </xf>
    <xf numFmtId="38" fontId="48" fillId="0" borderId="24" xfId="2" applyNumberFormat="1" applyFont="1" applyFill="1" applyBorder="1" applyAlignment="1" applyProtection="1">
      <alignment horizontal="right" vertical="center"/>
      <protection locked="0" hidden="1"/>
    </xf>
    <xf numFmtId="168" fontId="48" fillId="0" borderId="21" xfId="1" applyNumberFormat="1" applyFont="1" applyFill="1" applyBorder="1" applyAlignment="1" applyProtection="1">
      <alignment horizontal="center" vertical="center"/>
      <protection locked="0" hidden="1"/>
    </xf>
    <xf numFmtId="9" fontId="48" fillId="0" borderId="0" xfId="4" applyFont="1" applyAlignment="1" applyProtection="1">
      <alignment vertical="center"/>
      <protection locked="0" hidden="1"/>
    </xf>
    <xf numFmtId="38" fontId="78" fillId="0" borderId="0" xfId="2" applyNumberFormat="1" applyFont="1" applyAlignment="1" applyProtection="1">
      <alignment vertical="center"/>
      <protection locked="0" hidden="1"/>
    </xf>
    <xf numFmtId="0" fontId="78" fillId="0" borderId="0" xfId="2" applyFont="1" applyAlignment="1" applyProtection="1">
      <alignment vertical="center"/>
      <protection locked="0" hidden="1"/>
    </xf>
    <xf numFmtId="0" fontId="13" fillId="0" borderId="10" xfId="2" applyFont="1" applyFill="1" applyBorder="1" applyAlignment="1">
      <alignment vertical="center"/>
    </xf>
    <xf numFmtId="0" fontId="47" fillId="0" borderId="9" xfId="2" applyFont="1" applyFill="1" applyBorder="1" applyProtection="1">
      <protection locked="0" hidden="1"/>
    </xf>
    <xf numFmtId="0" fontId="47" fillId="0" borderId="0" xfId="2" applyFont="1" applyFill="1" applyProtection="1">
      <protection locked="0" hidden="1"/>
    </xf>
    <xf numFmtId="0" fontId="47" fillId="0" borderId="5" xfId="2" applyFont="1" applyFill="1" applyBorder="1" applyProtection="1">
      <protection locked="0" hidden="1"/>
    </xf>
    <xf numFmtId="3" fontId="59" fillId="0" borderId="0" xfId="2" applyNumberFormat="1" applyFont="1" applyFill="1" applyBorder="1" applyAlignment="1" applyProtection="1">
      <alignment horizontal="right"/>
      <protection locked="0" hidden="1"/>
    </xf>
    <xf numFmtId="167" fontId="59" fillId="0" borderId="0" xfId="2" applyNumberFormat="1" applyFont="1" applyFill="1" applyBorder="1" applyAlignment="1" applyProtection="1">
      <protection hidden="1"/>
    </xf>
    <xf numFmtId="0" fontId="53" fillId="0" borderId="9" xfId="2" applyFont="1" applyFill="1" applyBorder="1" applyProtection="1">
      <protection locked="0" hidden="1"/>
    </xf>
    <xf numFmtId="0" fontId="53" fillId="0" borderId="0" xfId="2" applyFont="1" applyFill="1" applyProtection="1">
      <protection locked="0" hidden="1"/>
    </xf>
    <xf numFmtId="0" fontId="53" fillId="0" borderId="0" xfId="2" applyFont="1" applyProtection="1">
      <protection locked="0" hidden="1"/>
    </xf>
    <xf numFmtId="167" fontId="27" fillId="0" borderId="0" xfId="2" applyNumberFormat="1" applyFont="1" applyFill="1" applyProtection="1">
      <protection locked="0" hidden="1"/>
    </xf>
    <xf numFmtId="0" fontId="47" fillId="0" borderId="0" xfId="2" applyFont="1" applyProtection="1">
      <protection locked="0" hidden="1"/>
    </xf>
    <xf numFmtId="0" fontId="24" fillId="0" borderId="9" xfId="2" applyFont="1" applyFill="1" applyBorder="1" applyProtection="1">
      <protection locked="0" hidden="1"/>
    </xf>
    <xf numFmtId="0" fontId="59" fillId="0" borderId="0" xfId="2" applyFont="1" applyFill="1" applyBorder="1" applyAlignment="1" applyProtection="1">
      <alignment horizontal="right"/>
      <protection hidden="1"/>
    </xf>
    <xf numFmtId="0" fontId="39" fillId="6" borderId="22" xfId="2" applyFont="1" applyFill="1" applyBorder="1" applyAlignment="1">
      <alignment horizontal="right" vertical="center"/>
    </xf>
    <xf numFmtId="0" fontId="37" fillId="6" borderId="0" xfId="2" applyFont="1" applyFill="1" applyBorder="1" applyAlignment="1">
      <alignment horizontal="center"/>
    </xf>
    <xf numFmtId="0" fontId="59" fillId="0" borderId="0" xfId="2" applyFont="1" applyFill="1" applyAlignment="1" applyProtection="1">
      <alignment horizontal="right"/>
      <protection locked="0" hidden="1"/>
    </xf>
    <xf numFmtId="0" fontId="39" fillId="0" borderId="0" xfId="2" applyFont="1" applyFill="1" applyBorder="1" applyAlignment="1">
      <alignment horizontal="right" vertical="center"/>
    </xf>
    <xf numFmtId="0" fontId="69" fillId="0" borderId="0" xfId="2" applyFont="1" applyFill="1" applyBorder="1"/>
    <xf numFmtId="167" fontId="37" fillId="0" borderId="0" xfId="2" applyNumberFormat="1" applyFont="1" applyFill="1" applyBorder="1" applyAlignment="1" applyProtection="1">
      <alignment vertical="center"/>
      <protection hidden="1"/>
    </xf>
    <xf numFmtId="167" fontId="80" fillId="0" borderId="0" xfId="2" applyNumberFormat="1" applyFont="1" applyFill="1" applyBorder="1" applyAlignment="1" applyProtection="1">
      <alignment vertical="center"/>
      <protection hidden="1"/>
    </xf>
    <xf numFmtId="0" fontId="37" fillId="0" borderId="0" xfId="2" applyFont="1" applyFill="1" applyBorder="1" applyAlignment="1" applyProtection="1">
      <alignment vertical="center"/>
      <protection hidden="1"/>
    </xf>
    <xf numFmtId="167" fontId="37" fillId="0" borderId="0" xfId="2" applyNumberFormat="1" applyFont="1" applyFill="1" applyBorder="1" applyAlignment="1" applyProtection="1">
      <alignment horizontal="right" vertical="center"/>
      <protection hidden="1"/>
    </xf>
    <xf numFmtId="0" fontId="81" fillId="0" borderId="22" xfId="2" applyFont="1" applyFill="1" applyBorder="1" applyAlignment="1">
      <alignment horizontal="right" vertical="center"/>
    </xf>
    <xf numFmtId="0" fontId="82" fillId="0" borderId="0" xfId="2" applyFont="1" applyFill="1" applyBorder="1" applyAlignment="1">
      <alignment horizontal="center"/>
    </xf>
    <xf numFmtId="167" fontId="61" fillId="0" borderId="22" xfId="2" applyNumberFormat="1" applyFont="1" applyFill="1" applyBorder="1" applyAlignment="1" applyProtection="1">
      <alignment vertical="center"/>
      <protection hidden="1"/>
    </xf>
    <xf numFmtId="0" fontId="52" fillId="0" borderId="0" xfId="2" applyFont="1" applyFill="1" applyBorder="1" applyAlignment="1" applyProtection="1">
      <alignment vertical="center"/>
      <protection hidden="1"/>
    </xf>
    <xf numFmtId="0" fontId="37" fillId="0" borderId="0" xfId="2" applyFont="1" applyFill="1" applyBorder="1"/>
    <xf numFmtId="169" fontId="37" fillId="0" borderId="0" xfId="2" applyNumberFormat="1" applyFont="1" applyFill="1" applyBorder="1" applyAlignment="1" applyProtection="1">
      <alignment vertical="center"/>
      <protection hidden="1"/>
    </xf>
    <xf numFmtId="169" fontId="80" fillId="0" borderId="0" xfId="2" applyNumberFormat="1" applyFont="1" applyFill="1" applyBorder="1" applyAlignment="1" applyProtection="1">
      <alignment vertical="center"/>
      <protection hidden="1"/>
    </xf>
    <xf numFmtId="3" fontId="62" fillId="0" borderId="0" xfId="2" applyNumberFormat="1" applyFont="1" applyFill="1" applyBorder="1" applyAlignment="1" applyProtection="1">
      <alignment horizontal="right"/>
      <protection hidden="1"/>
    </xf>
    <xf numFmtId="0" fontId="83" fillId="6" borderId="22" xfId="2" applyFont="1" applyFill="1" applyBorder="1" applyAlignment="1" applyProtection="1">
      <alignment horizontal="right" vertical="center"/>
      <protection hidden="1"/>
    </xf>
    <xf numFmtId="0" fontId="84" fillId="6" borderId="0" xfId="2" applyFont="1" applyFill="1" applyBorder="1" applyAlignment="1" applyProtection="1">
      <alignment horizontal="center"/>
      <protection hidden="1"/>
    </xf>
    <xf numFmtId="167" fontId="52" fillId="6" borderId="22" xfId="2" applyNumberFormat="1" applyFont="1" applyFill="1" applyBorder="1" applyAlignment="1" applyProtection="1">
      <alignment horizontal="center" vertical="center"/>
      <protection hidden="1"/>
    </xf>
    <xf numFmtId="3" fontId="85" fillId="0" borderId="0" xfId="2" applyNumberFormat="1" applyFont="1" applyFill="1" applyBorder="1" applyAlignment="1" applyProtection="1">
      <alignment horizontal="right"/>
      <protection hidden="1"/>
    </xf>
    <xf numFmtId="0" fontId="13" fillId="0" borderId="0" xfId="2" applyFont="1" applyFill="1" applyBorder="1" applyAlignment="1" applyProtection="1">
      <alignment horizontal="right" vertical="center"/>
      <protection hidden="1"/>
    </xf>
    <xf numFmtId="0" fontId="50" fillId="0" borderId="0" xfId="2" applyFont="1" applyFill="1" applyBorder="1" applyAlignment="1" applyProtection="1">
      <protection hidden="1"/>
    </xf>
    <xf numFmtId="173" fontId="37" fillId="0" borderId="0" xfId="2" applyNumberFormat="1" applyFont="1" applyFill="1" applyBorder="1" applyAlignment="1" applyProtection="1">
      <protection hidden="1"/>
    </xf>
    <xf numFmtId="0" fontId="80" fillId="0" borderId="0" xfId="2" applyFont="1" applyFill="1" applyBorder="1" applyAlignment="1" applyProtection="1">
      <protection hidden="1"/>
    </xf>
    <xf numFmtId="0" fontId="37" fillId="0" borderId="0" xfId="2" applyFont="1" applyFill="1" applyBorder="1" applyAlignment="1" applyProtection="1">
      <protection hidden="1"/>
    </xf>
    <xf numFmtId="0" fontId="37" fillId="0" borderId="0" xfId="2" applyFont="1" applyFill="1" applyBorder="1" applyAlignment="1" applyProtection="1">
      <alignment horizontal="right"/>
      <protection hidden="1"/>
    </xf>
    <xf numFmtId="0" fontId="24" fillId="0" borderId="11" xfId="2" applyFont="1" applyFill="1" applyBorder="1" applyProtection="1">
      <protection locked="0" hidden="1"/>
    </xf>
    <xf numFmtId="0" fontId="24" fillId="0" borderId="0" xfId="2" applyFont="1" applyFill="1" applyBorder="1" applyProtection="1">
      <protection locked="0" hidden="1"/>
    </xf>
    <xf numFmtId="38" fontId="52" fillId="0" borderId="22" xfId="1" applyNumberFormat="1" applyFont="1" applyFill="1" applyBorder="1" applyAlignment="1" applyProtection="1">
      <alignment horizontal="right" vertical="center"/>
      <protection hidden="1"/>
    </xf>
    <xf numFmtId="38" fontId="52" fillId="0" borderId="22" xfId="2" applyNumberFormat="1" applyFont="1" applyFill="1" applyBorder="1" applyAlignment="1" applyProtection="1">
      <alignment vertical="center"/>
      <protection hidden="1"/>
    </xf>
    <xf numFmtId="38" fontId="71" fillId="0" borderId="0" xfId="2" applyNumberFormat="1" applyFont="1" applyFill="1" applyBorder="1" applyAlignment="1" applyProtection="1">
      <protection hidden="1"/>
    </xf>
    <xf numFmtId="38" fontId="52" fillId="0" borderId="22" xfId="2" applyNumberFormat="1" applyFont="1" applyFill="1" applyBorder="1" applyAlignment="1" applyProtection="1">
      <alignment horizontal="right" vertical="center"/>
      <protection hidden="1"/>
    </xf>
    <xf numFmtId="0" fontId="25" fillId="0" borderId="11" xfId="2" applyFont="1" applyFill="1" applyBorder="1" applyProtection="1">
      <protection locked="0" hidden="1"/>
    </xf>
    <xf numFmtId="0" fontId="55" fillId="0" borderId="0" xfId="2" applyFont="1" applyFill="1" applyBorder="1" applyAlignment="1" applyProtection="1">
      <alignment horizontal="left"/>
      <protection hidden="1"/>
    </xf>
    <xf numFmtId="38" fontId="37" fillId="0" borderId="25" xfId="2" applyNumberFormat="1" applyFont="1" applyFill="1" applyBorder="1" applyAlignment="1" applyProtection="1">
      <protection hidden="1"/>
    </xf>
    <xf numFmtId="38" fontId="80" fillId="0" borderId="25" xfId="2" applyNumberFormat="1" applyFont="1" applyFill="1" applyBorder="1" applyAlignment="1" applyProtection="1">
      <protection hidden="1"/>
    </xf>
    <xf numFmtId="0" fontId="54" fillId="0" borderId="11" xfId="2" applyFont="1" applyFill="1" applyBorder="1" applyProtection="1">
      <protection locked="0" hidden="1"/>
    </xf>
    <xf numFmtId="38" fontId="55" fillId="0" borderId="0" xfId="2" applyNumberFormat="1" applyFont="1" applyFill="1" applyBorder="1" applyAlignment="1" applyProtection="1">
      <alignment horizontal="right"/>
      <protection hidden="1"/>
    </xf>
    <xf numFmtId="0" fontId="24" fillId="0" borderId="26" xfId="2" applyFont="1" applyFill="1" applyBorder="1" applyProtection="1">
      <protection locked="0" hidden="1"/>
    </xf>
    <xf numFmtId="0" fontId="49" fillId="0" borderId="3" xfId="2" applyFont="1" applyFill="1" applyBorder="1" applyAlignment="1" applyProtection="1">
      <alignment horizontal="right"/>
      <protection locked="0" hidden="1"/>
    </xf>
    <xf numFmtId="0" fontId="49" fillId="0" borderId="3" xfId="2" applyFont="1" applyFill="1" applyBorder="1" applyProtection="1">
      <protection locked="0" hidden="1"/>
    </xf>
    <xf numFmtId="0" fontId="55" fillId="0" borderId="3" xfId="2" applyFont="1" applyFill="1" applyBorder="1" applyAlignment="1" applyProtection="1">
      <protection hidden="1"/>
    </xf>
    <xf numFmtId="165" fontId="49" fillId="0" borderId="3" xfId="2" applyNumberFormat="1" applyFont="1" applyFill="1" applyBorder="1" applyAlignment="1" applyProtection="1">
      <protection hidden="1"/>
    </xf>
    <xf numFmtId="165" fontId="58" fillId="0" borderId="3" xfId="2" applyNumberFormat="1" applyFont="1" applyFill="1" applyBorder="1" applyAlignment="1" applyProtection="1">
      <protection hidden="1"/>
    </xf>
    <xf numFmtId="0" fontId="49" fillId="0" borderId="3" xfId="2" applyFont="1" applyFill="1" applyBorder="1" applyAlignment="1" applyProtection="1">
      <protection hidden="1"/>
    </xf>
    <xf numFmtId="0" fontId="25" fillId="0" borderId="4" xfId="2" applyFont="1" applyFill="1" applyBorder="1" applyProtection="1">
      <protection locked="0" hidden="1"/>
    </xf>
    <xf numFmtId="0" fontId="49" fillId="0" borderId="0" xfId="2" applyFont="1" applyFill="1" applyBorder="1" applyAlignment="1" applyProtection="1">
      <alignment horizontal="right"/>
      <protection locked="0" hidden="1"/>
    </xf>
    <xf numFmtId="0" fontId="55" fillId="0" borderId="0" xfId="2" applyFont="1" applyFill="1" applyBorder="1" applyAlignment="1" applyProtection="1">
      <protection hidden="1"/>
    </xf>
    <xf numFmtId="165" fontId="49" fillId="0" borderId="0" xfId="2" applyNumberFormat="1" applyFont="1" applyFill="1" applyBorder="1" applyAlignment="1" applyProtection="1">
      <protection hidden="1"/>
    </xf>
    <xf numFmtId="165" fontId="58" fillId="0" borderId="0" xfId="2" applyNumberFormat="1" applyFont="1" applyFill="1" applyBorder="1" applyAlignment="1" applyProtection="1">
      <protection hidden="1"/>
    </xf>
    <xf numFmtId="4" fontId="55" fillId="0" borderId="0" xfId="2" applyNumberFormat="1" applyFont="1" applyFill="1" applyBorder="1" applyAlignment="1" applyProtection="1">
      <protection hidden="1"/>
    </xf>
    <xf numFmtId="4" fontId="59" fillId="0" borderId="0" xfId="2" applyNumberFormat="1" applyFont="1" applyFill="1" applyBorder="1" applyAlignment="1" applyProtection="1">
      <protection hidden="1"/>
    </xf>
    <xf numFmtId="4" fontId="49" fillId="0" borderId="0" xfId="2" applyNumberFormat="1" applyFont="1" applyFill="1" applyBorder="1" applyAlignment="1" applyProtection="1">
      <protection hidden="1"/>
    </xf>
    <xf numFmtId="164" fontId="58" fillId="0" borderId="0" xfId="1" applyFont="1" applyFill="1" applyBorder="1" applyAlignment="1" applyProtection="1">
      <protection hidden="1"/>
    </xf>
    <xf numFmtId="0" fontId="74" fillId="0" borderId="0" xfId="2" applyFont="1" applyFill="1" applyBorder="1" applyAlignment="1" applyProtection="1">
      <alignment horizontal="center"/>
      <protection locked="0" hidden="1"/>
    </xf>
    <xf numFmtId="4" fontId="74" fillId="0" borderId="0" xfId="2" applyNumberFormat="1" applyFont="1" applyFill="1" applyBorder="1" applyAlignment="1" applyProtection="1">
      <alignment horizontal="right"/>
      <protection hidden="1"/>
    </xf>
    <xf numFmtId="4" fontId="75" fillId="0" borderId="0" xfId="2" applyNumberFormat="1" applyFont="1" applyFill="1" applyBorder="1" applyAlignment="1" applyProtection="1">
      <alignment horizontal="right"/>
      <protection hidden="1"/>
    </xf>
    <xf numFmtId="4" fontId="74" fillId="0" borderId="0" xfId="2" applyNumberFormat="1" applyFont="1" applyFill="1" applyBorder="1" applyAlignment="1" applyProtection="1">
      <alignment horizontal="left"/>
      <protection hidden="1"/>
    </xf>
    <xf numFmtId="0" fontId="86" fillId="0" borderId="9" xfId="2" applyFont="1" applyFill="1" applyBorder="1" applyAlignment="1" applyProtection="1">
      <alignment vertical="center"/>
      <protection locked="0" hidden="1"/>
    </xf>
    <xf numFmtId="0" fontId="86" fillId="0" borderId="0" xfId="2" applyFont="1" applyFill="1" applyAlignment="1" applyProtection="1">
      <alignment vertical="center"/>
      <protection locked="0" hidden="1"/>
    </xf>
    <xf numFmtId="0" fontId="86" fillId="0" borderId="5" xfId="2" applyFont="1" applyFill="1" applyBorder="1" applyAlignment="1" applyProtection="1">
      <alignment vertical="center"/>
      <protection locked="0" hidden="1"/>
    </xf>
    <xf numFmtId="0" fontId="30" fillId="0" borderId="0" xfId="2" applyFont="1" applyFill="1" applyBorder="1" applyAlignment="1" applyProtection="1">
      <alignment horizontal="left" vertical="center"/>
      <protection locked="0" hidden="1"/>
    </xf>
    <xf numFmtId="0" fontId="50" fillId="0" borderId="9" xfId="2" applyFont="1" applyFill="1" applyBorder="1" applyAlignment="1" applyProtection="1">
      <alignment vertical="center"/>
      <protection locked="0" hidden="1"/>
    </xf>
    <xf numFmtId="0" fontId="50" fillId="0" borderId="0" xfId="2" applyFont="1" applyFill="1" applyAlignment="1" applyProtection="1">
      <alignment vertical="center"/>
      <protection locked="0" hidden="1"/>
    </xf>
    <xf numFmtId="0" fontId="50" fillId="0" borderId="0" xfId="2" applyFont="1" applyAlignment="1" applyProtection="1">
      <alignment vertical="center"/>
      <protection locked="0" hidden="1"/>
    </xf>
    <xf numFmtId="0" fontId="86" fillId="0" borderId="0" xfId="2" applyFont="1" applyAlignment="1" applyProtection="1">
      <alignment vertical="center"/>
      <protection locked="0" hidden="1"/>
    </xf>
    <xf numFmtId="0" fontId="87" fillId="0" borderId="9" xfId="2" applyFont="1" applyFill="1" applyBorder="1" applyAlignment="1" applyProtection="1">
      <alignment vertical="top"/>
      <protection locked="0" hidden="1"/>
    </xf>
    <xf numFmtId="0" fontId="87" fillId="0" borderId="0" xfId="2" applyFont="1" applyFill="1" applyAlignment="1" applyProtection="1">
      <alignment vertical="top"/>
      <protection locked="0" hidden="1"/>
    </xf>
    <xf numFmtId="0" fontId="87" fillId="0" borderId="5" xfId="2" applyFont="1" applyFill="1" applyBorder="1" applyAlignment="1" applyProtection="1">
      <alignment vertical="top"/>
      <protection locked="0" hidden="1"/>
    </xf>
    <xf numFmtId="0" fontId="66" fillId="0" borderId="0" xfId="2" applyFont="1" applyFill="1" applyBorder="1" applyAlignment="1" applyProtection="1">
      <alignment horizontal="left" vertical="top"/>
      <protection locked="0" hidden="1"/>
    </xf>
    <xf numFmtId="0" fontId="69" fillId="0" borderId="9" xfId="2" applyFont="1" applyFill="1" applyBorder="1" applyAlignment="1" applyProtection="1">
      <alignment vertical="top"/>
      <protection locked="0" hidden="1"/>
    </xf>
    <xf numFmtId="0" fontId="69" fillId="0" borderId="0" xfId="2" applyFont="1" applyFill="1" applyAlignment="1" applyProtection="1">
      <alignment vertical="top"/>
      <protection locked="0" hidden="1"/>
    </xf>
    <xf numFmtId="0" fontId="69" fillId="0" borderId="0" xfId="2" applyFont="1" applyAlignment="1" applyProtection="1">
      <alignment vertical="top"/>
      <protection locked="0" hidden="1"/>
    </xf>
    <xf numFmtId="0" fontId="87" fillId="0" borderId="0" xfId="2" applyFont="1" applyAlignment="1" applyProtection="1">
      <alignment vertical="top"/>
      <protection locked="0" hidden="1"/>
    </xf>
    <xf numFmtId="0" fontId="88" fillId="0" borderId="9" xfId="2" applyFont="1" applyFill="1" applyBorder="1" applyAlignment="1" applyProtection="1">
      <protection locked="0" hidden="1"/>
    </xf>
    <xf numFmtId="0" fontId="88" fillId="0" borderId="0" xfId="2" applyFont="1" applyFill="1" applyAlignment="1" applyProtection="1">
      <protection locked="0" hidden="1"/>
    </xf>
    <xf numFmtId="0" fontId="88" fillId="0" borderId="5" xfId="2" applyFont="1" applyFill="1" applyBorder="1" applyAlignment="1" applyProtection="1">
      <protection locked="0" hidden="1"/>
    </xf>
    <xf numFmtId="169" fontId="89" fillId="0" borderId="0" xfId="5" applyNumberFormat="1" applyFont="1" applyFill="1" applyBorder="1" applyAlignment="1">
      <alignment vertical="center"/>
    </xf>
    <xf numFmtId="169" fontId="62" fillId="0" borderId="0" xfId="5" applyNumberFormat="1" applyFont="1" applyFill="1" applyBorder="1" applyAlignment="1"/>
    <xf numFmtId="169" fontId="63" fillId="0" borderId="0" xfId="5" applyNumberFormat="1" applyFont="1" applyFill="1" applyBorder="1" applyAlignment="1"/>
    <xf numFmtId="0" fontId="62" fillId="0" borderId="9" xfId="2" applyFont="1" applyFill="1" applyBorder="1" applyAlignment="1" applyProtection="1">
      <protection locked="0" hidden="1"/>
    </xf>
    <xf numFmtId="0" fontId="62" fillId="0" borderId="0" xfId="2" applyFont="1" applyFill="1" applyAlignment="1" applyProtection="1">
      <protection locked="0" hidden="1"/>
    </xf>
    <xf numFmtId="0" fontId="62" fillId="0" borderId="0" xfId="2" applyFont="1" applyAlignment="1" applyProtection="1">
      <protection locked="0" hidden="1"/>
    </xf>
    <xf numFmtId="0" fontId="88" fillId="0" borderId="0" xfId="2" applyFont="1" applyAlignment="1" applyProtection="1">
      <protection locked="0" hidden="1"/>
    </xf>
    <xf numFmtId="0" fontId="49" fillId="0" borderId="0" xfId="2" applyFont="1" applyBorder="1" applyProtection="1">
      <protection hidden="1"/>
    </xf>
    <xf numFmtId="0" fontId="49" fillId="0" borderId="0" xfId="2" applyFont="1" applyBorder="1" applyProtection="1">
      <protection locked="0" hidden="1"/>
    </xf>
    <xf numFmtId="0" fontId="58" fillId="0" borderId="0" xfId="2" applyFont="1" applyFill="1" applyBorder="1" applyProtection="1">
      <protection locked="0" hidden="1"/>
    </xf>
    <xf numFmtId="4" fontId="74" fillId="0" borderId="0" xfId="2" applyNumberFormat="1" applyFont="1" applyFill="1" applyBorder="1" applyAlignment="1" applyProtection="1">
      <alignment horizontal="center"/>
      <protection hidden="1"/>
    </xf>
    <xf numFmtId="4" fontId="75" fillId="0" borderId="0" xfId="2" applyNumberFormat="1" applyFont="1" applyFill="1" applyBorder="1" applyAlignment="1" applyProtection="1">
      <alignment horizontal="left"/>
      <protection hidden="1"/>
    </xf>
    <xf numFmtId="0" fontId="90" fillId="0" borderId="9" xfId="2" applyFont="1" applyFill="1" applyBorder="1" applyAlignment="1" applyProtection="1">
      <alignment vertical="center"/>
      <protection locked="0" hidden="1"/>
    </xf>
    <xf numFmtId="0" fontId="90" fillId="0" borderId="11" xfId="2" applyFont="1" applyFill="1" applyBorder="1" applyAlignment="1" applyProtection="1">
      <alignment vertical="center"/>
      <protection locked="0" hidden="1"/>
    </xf>
    <xf numFmtId="0" fontId="90" fillId="0" borderId="5" xfId="2" applyFont="1" applyFill="1" applyBorder="1" applyAlignment="1" applyProtection="1">
      <alignment vertical="center"/>
      <protection locked="0" hidden="1"/>
    </xf>
    <xf numFmtId="0" fontId="91" fillId="0" borderId="0" xfId="2" applyFont="1" applyFill="1" applyBorder="1" applyAlignment="1" applyProtection="1">
      <alignment horizontal="right" vertical="center"/>
      <protection locked="0" hidden="1"/>
    </xf>
    <xf numFmtId="0" fontId="91" fillId="0" borderId="0" xfId="2" applyFont="1" applyFill="1" applyBorder="1" applyAlignment="1" applyProtection="1">
      <alignment vertical="center"/>
      <protection locked="0" hidden="1"/>
    </xf>
    <xf numFmtId="169" fontId="91" fillId="0" borderId="0" xfId="5" applyNumberFormat="1" applyFont="1" applyFill="1" applyBorder="1" applyAlignment="1">
      <alignment horizontal="center" vertical="center"/>
    </xf>
    <xf numFmtId="0" fontId="91" fillId="0" borderId="0" xfId="2" applyFont="1" applyBorder="1" applyAlignment="1" applyProtection="1">
      <alignment vertical="center"/>
      <protection locked="0" hidden="1"/>
    </xf>
    <xf numFmtId="169" fontId="91" fillId="0" borderId="0" xfId="5" applyNumberFormat="1" applyFont="1" applyFill="1" applyBorder="1" applyAlignment="1">
      <alignment horizontal="center" vertical="center"/>
    </xf>
    <xf numFmtId="0" fontId="91" fillId="0" borderId="9" xfId="2" applyFont="1" applyFill="1" applyBorder="1" applyAlignment="1" applyProtection="1">
      <alignment vertical="center"/>
      <protection locked="0" hidden="1"/>
    </xf>
    <xf numFmtId="0" fontId="91" fillId="0" borderId="0" xfId="2" applyFont="1" applyFill="1" applyAlignment="1" applyProtection="1">
      <alignment vertical="center"/>
      <protection locked="0" hidden="1"/>
    </xf>
    <xf numFmtId="0" fontId="91" fillId="0" borderId="0" xfId="2" applyFont="1" applyAlignment="1" applyProtection="1">
      <alignment vertical="center"/>
      <protection locked="0" hidden="1"/>
    </xf>
    <xf numFmtId="0" fontId="90" fillId="0" borderId="0" xfId="2" applyFont="1" applyAlignment="1" applyProtection="1">
      <alignment vertical="center"/>
      <protection locked="0" hidden="1"/>
    </xf>
    <xf numFmtId="0" fontId="90" fillId="0" borderId="9" xfId="2" applyFont="1" applyFill="1" applyBorder="1" applyAlignment="1" applyProtection="1">
      <protection locked="0" hidden="1"/>
    </xf>
    <xf numFmtId="0" fontId="90" fillId="0" borderId="11" xfId="2" applyFont="1" applyFill="1" applyBorder="1" applyAlignment="1" applyProtection="1">
      <protection locked="0" hidden="1"/>
    </xf>
    <xf numFmtId="0" fontId="90" fillId="0" borderId="5" xfId="2" applyFont="1" applyFill="1" applyBorder="1" applyAlignment="1" applyProtection="1">
      <protection locked="0" hidden="1"/>
    </xf>
    <xf numFmtId="0" fontId="91" fillId="0" borderId="0" xfId="2" applyFont="1" applyFill="1" applyBorder="1" applyAlignment="1" applyProtection="1">
      <alignment horizontal="center"/>
      <protection locked="0" hidden="1"/>
    </xf>
    <xf numFmtId="169" fontId="92" fillId="0" borderId="0" xfId="5" applyNumberFormat="1" applyFont="1" applyFill="1" applyBorder="1" applyAlignment="1">
      <alignment horizontal="center"/>
    </xf>
    <xf numFmtId="0" fontId="91" fillId="0" borderId="0" xfId="2" applyFont="1" applyBorder="1" applyAlignment="1" applyProtection="1">
      <protection locked="0" hidden="1"/>
    </xf>
    <xf numFmtId="169" fontId="92" fillId="0" borderId="0" xfId="5" applyNumberFormat="1" applyFont="1" applyFill="1" applyBorder="1" applyAlignment="1">
      <alignment horizontal="center"/>
    </xf>
    <xf numFmtId="169" fontId="92" fillId="0" borderId="0" xfId="5" applyNumberFormat="1" applyFont="1" applyFill="1" applyBorder="1" applyAlignment="1"/>
    <xf numFmtId="0" fontId="91" fillId="0" borderId="9" xfId="2" applyFont="1" applyFill="1" applyBorder="1" applyAlignment="1" applyProtection="1">
      <protection locked="0" hidden="1"/>
    </xf>
    <xf numFmtId="0" fontId="91" fillId="0" borderId="0" xfId="2" applyFont="1" applyFill="1" applyAlignment="1" applyProtection="1">
      <protection locked="0" hidden="1"/>
    </xf>
    <xf numFmtId="0" fontId="91" fillId="0" borderId="0" xfId="2" applyFont="1" applyAlignment="1" applyProtection="1">
      <protection locked="0" hidden="1"/>
    </xf>
    <xf numFmtId="0" fontId="90" fillId="0" borderId="0" xfId="2" applyFont="1" applyAlignment="1" applyProtection="1">
      <protection locked="0" hidden="1"/>
    </xf>
    <xf numFmtId="0" fontId="90" fillId="0" borderId="0" xfId="2" applyFont="1" applyFill="1" applyBorder="1" applyAlignment="1" applyProtection="1">
      <protection locked="0" hidden="1"/>
    </xf>
    <xf numFmtId="0" fontId="93" fillId="0" borderId="9" xfId="2" applyFont="1" applyFill="1" applyBorder="1" applyProtection="1">
      <protection locked="0" hidden="1"/>
    </xf>
    <xf numFmtId="0" fontId="93" fillId="0" borderId="0" xfId="2" applyFont="1" applyFill="1" applyProtection="1">
      <protection locked="0" hidden="1"/>
    </xf>
    <xf numFmtId="0" fontId="93" fillId="0" borderId="5" xfId="2" applyFont="1" applyFill="1" applyBorder="1" applyProtection="1">
      <protection locked="0" hidden="1"/>
    </xf>
    <xf numFmtId="0" fontId="52" fillId="0" borderId="0" xfId="2" applyFont="1" applyBorder="1" applyAlignment="1">
      <alignment horizontal="left"/>
    </xf>
    <xf numFmtId="169" fontId="55" fillId="0" borderId="0" xfId="5" applyNumberFormat="1" applyFont="1" applyFill="1" applyBorder="1" applyAlignment="1">
      <alignment horizontal="center"/>
    </xf>
    <xf numFmtId="0" fontId="49" fillId="0" borderId="0" xfId="2" applyFont="1" applyBorder="1" applyAlignment="1" applyProtection="1">
      <alignment horizontal="left"/>
      <protection hidden="1"/>
    </xf>
    <xf numFmtId="0" fontId="94" fillId="0" borderId="9" xfId="2" applyFont="1" applyFill="1" applyBorder="1" applyProtection="1">
      <protection locked="0" hidden="1"/>
    </xf>
    <xf numFmtId="0" fontId="94" fillId="0" borderId="0" xfId="2" applyFont="1" applyFill="1" applyProtection="1">
      <protection locked="0" hidden="1"/>
    </xf>
    <xf numFmtId="0" fontId="94" fillId="0" borderId="0" xfId="2" applyFont="1" applyProtection="1">
      <protection locked="0" hidden="1"/>
    </xf>
    <xf numFmtId="0" fontId="93" fillId="0" borderId="0" xfId="2" applyFont="1" applyProtection="1">
      <protection locked="0" hidden="1"/>
    </xf>
    <xf numFmtId="0" fontId="24" fillId="0" borderId="27" xfId="2" applyFont="1" applyFill="1" applyBorder="1" applyProtection="1">
      <protection locked="0" hidden="1"/>
    </xf>
    <xf numFmtId="0" fontId="25" fillId="0" borderId="28" xfId="2" applyFont="1" applyFill="1" applyBorder="1" applyAlignment="1" applyProtection="1">
      <alignment horizontal="right"/>
      <protection locked="0" hidden="1"/>
    </xf>
    <xf numFmtId="0" fontId="25" fillId="0" borderId="28" xfId="2" applyFont="1" applyFill="1" applyBorder="1" applyProtection="1">
      <protection locked="0" hidden="1"/>
    </xf>
    <xf numFmtId="0" fontId="25" fillId="0" borderId="28" xfId="2" applyFont="1" applyBorder="1" applyProtection="1">
      <protection hidden="1"/>
    </xf>
    <xf numFmtId="0" fontId="25" fillId="0" borderId="28" xfId="2" applyFont="1" applyBorder="1" applyProtection="1">
      <protection locked="0" hidden="1"/>
    </xf>
    <xf numFmtId="0" fontId="26" fillId="0" borderId="28" xfId="2" applyFont="1" applyFill="1" applyBorder="1" applyProtection="1">
      <protection locked="0" hidden="1"/>
    </xf>
    <xf numFmtId="0" fontId="25" fillId="0" borderId="29" xfId="2" applyFont="1" applyFill="1" applyBorder="1" applyProtection="1">
      <protection locked="0" hidden="1"/>
    </xf>
    <xf numFmtId="0" fontId="24" fillId="0" borderId="28" xfId="2" applyFont="1" applyFill="1" applyBorder="1" applyProtection="1">
      <protection locked="0" hidden="1"/>
    </xf>
    <xf numFmtId="0" fontId="95" fillId="0" borderId="0" xfId="2" applyFont="1" applyBorder="1" applyAlignment="1">
      <alignment horizontal="center" vertical="center"/>
    </xf>
    <xf numFmtId="0" fontId="60" fillId="0" borderId="0" xfId="2" applyFont="1" applyAlignment="1">
      <alignment horizontal="center"/>
    </xf>
    <xf numFmtId="0" fontId="96" fillId="0" borderId="0" xfId="2" applyFont="1"/>
    <xf numFmtId="0" fontId="97" fillId="0" borderId="0" xfId="2" applyFont="1" applyBorder="1" applyAlignment="1">
      <alignment horizontal="center" vertical="center"/>
    </xf>
    <xf numFmtId="0" fontId="98" fillId="0" borderId="0" xfId="2" applyFont="1" applyBorder="1" applyAlignment="1">
      <alignment horizontal="center" vertical="center"/>
    </xf>
    <xf numFmtId="0" fontId="60" fillId="0" borderId="0" xfId="2" applyFont="1" applyFill="1" applyAlignment="1">
      <alignment horizontal="center"/>
    </xf>
    <xf numFmtId="169" fontId="99" fillId="0" borderId="0" xfId="16" applyNumberFormat="1" applyFont="1" applyBorder="1"/>
    <xf numFmtId="0" fontId="99" fillId="0" borderId="0" xfId="2" applyFont="1" applyBorder="1"/>
    <xf numFmtId="0" fontId="100" fillId="0" borderId="0" xfId="2" applyFont="1" applyBorder="1"/>
    <xf numFmtId="0" fontId="3" fillId="0" borderId="0" xfId="2"/>
    <xf numFmtId="0" fontId="101" fillId="3" borderId="0" xfId="2" applyFont="1" applyFill="1" applyBorder="1" applyAlignment="1">
      <alignment vertical="center"/>
    </xf>
    <xf numFmtId="0" fontId="102" fillId="3" borderId="0" xfId="2" applyFont="1" applyFill="1" applyBorder="1" applyAlignment="1"/>
    <xf numFmtId="0" fontId="103" fillId="3" borderId="0" xfId="2" applyFont="1" applyFill="1" applyBorder="1"/>
    <xf numFmtId="0" fontId="104" fillId="3" borderId="0" xfId="2" applyFont="1" applyFill="1" applyBorder="1"/>
    <xf numFmtId="0" fontId="98" fillId="0" borderId="0" xfId="2" applyFont="1" applyFill="1" applyBorder="1" applyAlignment="1"/>
    <xf numFmtId="0" fontId="105" fillId="0" borderId="0" xfId="2" applyFont="1" applyFill="1" applyBorder="1"/>
    <xf numFmtId="0" fontId="106" fillId="0" borderId="0" xfId="2" applyFont="1" applyFill="1" applyBorder="1"/>
    <xf numFmtId="0" fontId="3" fillId="0" borderId="0" xfId="2" applyFill="1"/>
    <xf numFmtId="169" fontId="97" fillId="0" borderId="17" xfId="16" applyNumberFormat="1" applyFont="1" applyBorder="1" applyAlignment="1">
      <alignment horizontal="left" vertical="center" wrapText="1"/>
    </xf>
    <xf numFmtId="169" fontId="98" fillId="0" borderId="0" xfId="16" applyNumberFormat="1" applyFont="1" applyBorder="1" applyAlignment="1">
      <alignment horizontal="left" vertical="center" wrapText="1"/>
    </xf>
    <xf numFmtId="169" fontId="98" fillId="0" borderId="24" xfId="16" applyNumberFormat="1" applyFont="1" applyBorder="1" applyAlignment="1">
      <alignment horizontal="center" vertical="center" wrapText="1"/>
    </xf>
    <xf numFmtId="3" fontId="98" fillId="0" borderId="24" xfId="2" applyNumberFormat="1" applyFont="1" applyFill="1" applyBorder="1" applyAlignment="1" applyProtection="1">
      <alignment horizontal="right" vertical="center" wrapText="1"/>
      <protection locked="0"/>
    </xf>
    <xf numFmtId="169" fontId="107" fillId="0" borderId="0" xfId="16" applyNumberFormat="1" applyFont="1" applyBorder="1" applyAlignment="1">
      <alignment vertical="center"/>
    </xf>
    <xf numFmtId="169" fontId="107" fillId="0" borderId="0" xfId="16" applyNumberFormat="1" applyFont="1" applyBorder="1" applyAlignment="1">
      <alignment horizontal="left" vertical="center"/>
    </xf>
    <xf numFmtId="168" fontId="107" fillId="0" borderId="0" xfId="1" applyNumberFormat="1" applyFont="1" applyBorder="1" applyAlignment="1">
      <alignment horizontal="center" vertical="center"/>
    </xf>
    <xf numFmtId="0" fontId="60" fillId="0" borderId="0" xfId="2" applyFont="1" applyAlignment="1">
      <alignment horizontal="center" vertical="center"/>
    </xf>
    <xf numFmtId="0" fontId="96" fillId="0" borderId="0" xfId="2" applyFont="1" applyAlignment="1">
      <alignment vertical="center"/>
    </xf>
    <xf numFmtId="0" fontId="107" fillId="0" borderId="0" xfId="2" applyFont="1" applyAlignment="1">
      <alignment vertical="center"/>
    </xf>
    <xf numFmtId="169" fontId="107" fillId="0" borderId="0" xfId="16" applyNumberFormat="1" applyFont="1" applyBorder="1" applyAlignment="1">
      <alignment horizontal="left" vertical="center"/>
    </xf>
    <xf numFmtId="168" fontId="98" fillId="0" borderId="0" xfId="1" applyNumberFormat="1" applyFont="1" applyBorder="1" applyAlignment="1">
      <alignment horizontal="center" vertical="center"/>
    </xf>
    <xf numFmtId="169" fontId="107" fillId="0" borderId="30" xfId="16" applyNumberFormat="1" applyFont="1" applyFill="1" applyBorder="1"/>
    <xf numFmtId="169" fontId="98" fillId="0" borderId="30" xfId="16" applyNumberFormat="1" applyFont="1" applyFill="1" applyBorder="1" applyAlignment="1">
      <alignment horizontal="left" vertical="center"/>
    </xf>
    <xf numFmtId="168" fontId="98" fillId="0" borderId="30" xfId="1" applyNumberFormat="1" applyFont="1" applyFill="1" applyBorder="1" applyAlignment="1">
      <alignment horizontal="center" vertical="center"/>
    </xf>
    <xf numFmtId="169" fontId="99" fillId="0" borderId="0" xfId="16" applyNumberFormat="1" applyFont="1" applyFill="1" applyBorder="1"/>
    <xf numFmtId="169" fontId="108" fillId="0" borderId="0" xfId="16" applyNumberFormat="1" applyFont="1" applyFill="1" applyBorder="1" applyAlignment="1">
      <alignment horizontal="left" vertical="center"/>
    </xf>
    <xf numFmtId="167" fontId="108" fillId="0" borderId="0" xfId="16" applyNumberFormat="1" applyFont="1" applyFill="1" applyBorder="1" applyAlignment="1">
      <alignment horizontal="left"/>
    </xf>
    <xf numFmtId="167" fontId="108" fillId="0" borderId="0" xfId="16" applyNumberFormat="1" applyFont="1" applyFill="1" applyBorder="1" applyAlignment="1">
      <alignment vertical="center"/>
    </xf>
    <xf numFmtId="0" fontId="99" fillId="0" borderId="0" xfId="2" applyFont="1" applyFill="1" applyBorder="1"/>
    <xf numFmtId="0" fontId="100" fillId="0" borderId="0" xfId="2" applyFont="1" applyFill="1" applyBorder="1"/>
    <xf numFmtId="168" fontId="107" fillId="0" borderId="0" xfId="1" applyNumberFormat="1" applyFont="1" applyBorder="1" applyAlignment="1">
      <alignment horizontal="left" vertical="center"/>
    </xf>
    <xf numFmtId="167" fontId="96" fillId="0" borderId="0" xfId="2" applyNumberFormat="1" applyFont="1" applyAlignment="1">
      <alignment vertical="center"/>
    </xf>
    <xf numFmtId="169" fontId="107" fillId="0" borderId="30" xfId="16" applyNumberFormat="1" applyFont="1" applyFill="1" applyBorder="1" applyAlignment="1">
      <alignment vertical="center"/>
    </xf>
    <xf numFmtId="168" fontId="98" fillId="0" borderId="30" xfId="1" applyNumberFormat="1" applyFont="1" applyFill="1" applyBorder="1" applyAlignment="1">
      <alignment horizontal="left" vertical="center"/>
    </xf>
    <xf numFmtId="168" fontId="98" fillId="0" borderId="30" xfId="1" applyNumberFormat="1" applyFont="1" applyFill="1" applyBorder="1" applyAlignment="1">
      <alignment vertical="center"/>
    </xf>
    <xf numFmtId="168" fontId="96" fillId="0" borderId="0" xfId="2" applyNumberFormat="1" applyFont="1" applyAlignment="1">
      <alignment vertical="center"/>
    </xf>
    <xf numFmtId="169" fontId="99" fillId="0" borderId="0" xfId="16" applyNumberFormat="1" applyFont="1" applyFill="1" applyBorder="1" applyAlignment="1">
      <alignment vertical="center"/>
    </xf>
    <xf numFmtId="167" fontId="108" fillId="0" borderId="0" xfId="16" applyNumberFormat="1" applyFont="1" applyFill="1" applyBorder="1" applyAlignment="1">
      <alignment horizontal="left" vertical="center"/>
    </xf>
    <xf numFmtId="3" fontId="108" fillId="0" borderId="0" xfId="2" applyNumberFormat="1" applyFont="1" applyFill="1" applyBorder="1" applyAlignment="1">
      <alignment vertical="center"/>
    </xf>
    <xf numFmtId="0" fontId="3" fillId="0" borderId="0" xfId="2" applyAlignment="1">
      <alignment vertical="center"/>
    </xf>
    <xf numFmtId="0" fontId="101" fillId="3" borderId="0" xfId="2" applyFont="1" applyFill="1" applyBorder="1" applyAlignment="1"/>
    <xf numFmtId="0" fontId="109" fillId="3" borderId="0" xfId="2" applyFont="1" applyFill="1" applyBorder="1"/>
    <xf numFmtId="0" fontId="110" fillId="0" borderId="0" xfId="2" applyFont="1" applyAlignment="1">
      <alignment vertical="center"/>
    </xf>
    <xf numFmtId="167" fontId="107" fillId="0" borderId="0" xfId="16" applyNumberFormat="1" applyFont="1" applyBorder="1" applyAlignment="1">
      <alignment horizontal="left" vertical="center"/>
    </xf>
    <xf numFmtId="164" fontId="108" fillId="0" borderId="0" xfId="1" applyFont="1" applyFill="1" applyBorder="1" applyAlignment="1">
      <alignment vertical="center"/>
    </xf>
    <xf numFmtId="0" fontId="110" fillId="0" borderId="0" xfId="2" applyFont="1"/>
    <xf numFmtId="0" fontId="111" fillId="0" borderId="0" xfId="2" applyFont="1" applyBorder="1"/>
    <xf numFmtId="0" fontId="109" fillId="3" borderId="0" xfId="2" applyFont="1" applyFill="1"/>
    <xf numFmtId="0" fontId="100" fillId="0" borderId="0" xfId="2" applyFont="1"/>
    <xf numFmtId="169" fontId="98" fillId="0" borderId="0" xfId="16" applyNumberFormat="1" applyFont="1" applyBorder="1" applyAlignment="1">
      <alignment horizontal="center" vertical="center" wrapText="1"/>
    </xf>
    <xf numFmtId="168" fontId="107" fillId="0" borderId="0" xfId="1" applyNumberFormat="1" applyFont="1" applyFill="1" applyBorder="1" applyAlignment="1" applyProtection="1">
      <alignment horizontal="left" vertical="center" wrapText="1" indent="1"/>
      <protection locked="0"/>
    </xf>
    <xf numFmtId="168" fontId="107" fillId="0" borderId="0" xfId="1" applyNumberFormat="1" applyFont="1" applyFill="1" applyBorder="1" applyAlignment="1" applyProtection="1">
      <alignment vertical="center" wrapText="1"/>
      <protection locked="0"/>
    </xf>
    <xf numFmtId="0" fontId="107" fillId="0" borderId="0" xfId="2" applyFont="1"/>
    <xf numFmtId="168" fontId="107" fillId="0" borderId="0" xfId="1" applyNumberFormat="1" applyFont="1" applyBorder="1" applyAlignment="1">
      <alignment horizontal="left" vertical="center" indent="1"/>
    </xf>
    <xf numFmtId="168" fontId="98" fillId="0" borderId="30" xfId="1" applyNumberFormat="1" applyFont="1" applyFill="1" applyBorder="1" applyAlignment="1">
      <alignment horizontal="right" vertical="center"/>
    </xf>
    <xf numFmtId="0" fontId="112" fillId="0" borderId="0" xfId="2" applyFont="1" applyBorder="1" applyAlignment="1">
      <alignment horizontal="center"/>
    </xf>
    <xf numFmtId="0" fontId="97" fillId="0" borderId="0" xfId="2" applyFont="1" applyAlignment="1">
      <alignment horizontal="center"/>
    </xf>
    <xf numFmtId="0" fontId="113" fillId="0" borderId="0" xfId="2" applyFont="1"/>
    <xf numFmtId="0" fontId="98" fillId="0" borderId="0" xfId="2" applyFont="1" applyAlignment="1">
      <alignment horizontal="center"/>
    </xf>
    <xf numFmtId="0" fontId="114" fillId="0" borderId="0" xfId="2" applyFont="1" applyBorder="1" applyAlignment="1">
      <alignment horizontal="center"/>
    </xf>
    <xf numFmtId="0" fontId="109" fillId="3" borderId="0" xfId="2" applyFont="1" applyFill="1" applyAlignment="1">
      <alignment vertical="center"/>
    </xf>
    <xf numFmtId="0" fontId="115" fillId="0" borderId="0" xfId="2" applyFont="1" applyFill="1" applyAlignment="1">
      <alignment horizontal="center" vertical="center"/>
    </xf>
    <xf numFmtId="0" fontId="116" fillId="3" borderId="0" xfId="2" applyFont="1" applyFill="1" applyAlignment="1">
      <alignment vertical="center"/>
    </xf>
    <xf numFmtId="0" fontId="97" fillId="0" borderId="0" xfId="2" applyFont="1" applyFill="1" applyBorder="1" applyAlignment="1">
      <alignment horizontal="left" vertical="center" wrapText="1"/>
    </xf>
    <xf numFmtId="0" fontId="98" fillId="0" borderId="0" xfId="2" applyFont="1" applyFill="1" applyBorder="1" applyAlignment="1">
      <alignment horizontal="left" vertical="center" wrapText="1"/>
    </xf>
    <xf numFmtId="0" fontId="113" fillId="0" borderId="0" xfId="2" applyFont="1" applyFill="1" applyAlignment="1">
      <alignment vertical="center"/>
    </xf>
    <xf numFmtId="0" fontId="117" fillId="0" borderId="0" xfId="2" applyFont="1" applyAlignment="1">
      <alignment horizontal="center" vertical="center"/>
    </xf>
    <xf numFmtId="0" fontId="118" fillId="0" borderId="0" xfId="2" applyFont="1" applyAlignment="1">
      <alignment vertical="center"/>
    </xf>
    <xf numFmtId="169" fontId="119" fillId="0" borderId="0" xfId="17" applyNumberFormat="1" applyFont="1" applyBorder="1" applyAlignment="1">
      <alignment horizontal="left" vertical="center" wrapText="1"/>
    </xf>
    <xf numFmtId="169" fontId="114" fillId="0" borderId="0" xfId="17" applyNumberFormat="1" applyFont="1" applyBorder="1" applyAlignment="1">
      <alignment horizontal="left" vertical="center" wrapText="1"/>
    </xf>
    <xf numFmtId="0" fontId="113" fillId="0" borderId="0" xfId="2" applyFont="1" applyBorder="1"/>
    <xf numFmtId="0" fontId="117" fillId="0" borderId="0" xfId="2" applyFont="1" applyAlignment="1">
      <alignment horizontal="center"/>
    </xf>
    <xf numFmtId="0" fontId="118" fillId="0" borderId="0" xfId="2" applyFont="1"/>
    <xf numFmtId="3" fontId="98" fillId="0" borderId="24" xfId="2" applyNumberFormat="1" applyFont="1" applyFill="1" applyBorder="1" applyAlignment="1" applyProtection="1">
      <alignment vertical="center" wrapText="1"/>
      <protection locked="0"/>
    </xf>
    <xf numFmtId="3" fontId="98" fillId="0" borderId="24" xfId="2" applyNumberFormat="1" applyFont="1" applyFill="1" applyBorder="1" applyAlignment="1" applyProtection="1">
      <alignment horizontal="center" vertical="center" wrapText="1"/>
      <protection locked="0"/>
    </xf>
    <xf numFmtId="3" fontId="107" fillId="0" borderId="0" xfId="2" applyNumberFormat="1" applyFont="1" applyFill="1" applyBorder="1" applyAlignment="1" applyProtection="1">
      <alignment horizontal="center" vertical="center" wrapText="1"/>
      <protection locked="0"/>
    </xf>
    <xf numFmtId="164" fontId="107" fillId="0" borderId="0" xfId="1" applyFont="1" applyFill="1" applyBorder="1" applyAlignment="1" applyProtection="1">
      <alignment horizontal="left" vertical="center" wrapText="1"/>
      <protection locked="0"/>
    </xf>
    <xf numFmtId="168" fontId="107" fillId="0" borderId="0" xfId="1" applyNumberFormat="1" applyFont="1" applyFill="1" applyBorder="1" applyAlignment="1" applyProtection="1">
      <alignment horizontal="right" vertical="center"/>
      <protection locked="0"/>
    </xf>
    <xf numFmtId="168" fontId="107" fillId="0" borderId="0" xfId="1" applyNumberFormat="1" applyFont="1" applyFill="1" applyBorder="1" applyAlignment="1" applyProtection="1">
      <alignment horizontal="center" vertical="center"/>
      <protection locked="0"/>
    </xf>
    <xf numFmtId="164" fontId="107" fillId="0" borderId="0" xfId="1" applyFont="1" applyFill="1" applyBorder="1" applyAlignment="1" applyProtection="1">
      <alignment horizontal="left" vertical="center"/>
      <protection locked="0"/>
    </xf>
    <xf numFmtId="0" fontId="98" fillId="0" borderId="0" xfId="2" applyFont="1" applyAlignment="1">
      <alignment horizontal="center" vertical="center"/>
    </xf>
    <xf numFmtId="169" fontId="107" fillId="0" borderId="30" xfId="17" applyNumberFormat="1" applyFont="1" applyFill="1" applyBorder="1" applyAlignment="1">
      <alignment vertical="center"/>
    </xf>
    <xf numFmtId="169" fontId="98" fillId="0" borderId="30" xfId="17" applyNumberFormat="1" applyFont="1" applyFill="1" applyBorder="1" applyAlignment="1">
      <alignment vertical="center"/>
    </xf>
    <xf numFmtId="0" fontId="119" fillId="0" borderId="0" xfId="2" applyFont="1" applyBorder="1" applyAlignment="1">
      <alignment horizontal="left" vertical="center" wrapText="1"/>
    </xf>
    <xf numFmtId="168" fontId="114" fillId="0" borderId="0" xfId="2" applyNumberFormat="1" applyFont="1" applyBorder="1" applyAlignment="1">
      <alignment horizontal="left" vertical="center" wrapText="1"/>
    </xf>
    <xf numFmtId="0" fontId="117" fillId="0" borderId="0" xfId="2" applyFont="1" applyBorder="1" applyAlignment="1">
      <alignment horizontal="center"/>
    </xf>
    <xf numFmtId="0" fontId="118" fillId="0" borderId="0" xfId="2" applyFont="1" applyBorder="1"/>
    <xf numFmtId="168" fontId="118" fillId="0" borderId="0" xfId="2" applyNumberFormat="1" applyFont="1" applyBorder="1"/>
    <xf numFmtId="0" fontId="114" fillId="0" borderId="17" xfId="2" applyFont="1" applyBorder="1" applyAlignment="1">
      <alignment horizontal="left" vertical="center" wrapText="1"/>
    </xf>
    <xf numFmtId="0" fontId="114" fillId="0" borderId="0" xfId="2" applyFont="1" applyBorder="1" applyAlignment="1">
      <alignment horizontal="left" vertical="center" wrapText="1"/>
    </xf>
    <xf numFmtId="0" fontId="120" fillId="0" borderId="0" xfId="2" applyFont="1" applyAlignment="1">
      <alignment horizontal="center"/>
    </xf>
    <xf numFmtId="3" fontId="98" fillId="0" borderId="0" xfId="2" applyNumberFormat="1" applyFont="1" applyFill="1" applyBorder="1" applyAlignment="1" applyProtection="1">
      <alignment vertical="center" wrapText="1"/>
      <protection locked="0"/>
    </xf>
    <xf numFmtId="3" fontId="98" fillId="0" borderId="0" xfId="2" applyNumberFormat="1" applyFont="1" applyFill="1" applyBorder="1" applyAlignment="1" applyProtection="1">
      <alignment horizontal="center" vertical="center" wrapText="1"/>
      <protection locked="0"/>
    </xf>
    <xf numFmtId="3" fontId="98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107" fillId="0" borderId="0" xfId="2" applyFont="1" applyAlignment="1">
      <alignment horizontal="center" vertical="center"/>
    </xf>
    <xf numFmtId="3" fontId="107" fillId="0" borderId="0" xfId="2" applyNumberFormat="1" applyFont="1" applyFill="1" applyBorder="1" applyAlignment="1" applyProtection="1">
      <alignment horizontal="left" vertical="center" wrapText="1"/>
      <protection locked="0"/>
    </xf>
    <xf numFmtId="0" fontId="107" fillId="0" borderId="0" xfId="2" applyFont="1" applyAlignment="1">
      <alignment horizontal="left" vertical="center"/>
    </xf>
    <xf numFmtId="168" fontId="107" fillId="0" borderId="0" xfId="1" applyNumberFormat="1" applyFont="1" applyAlignment="1">
      <alignment vertical="center"/>
    </xf>
    <xf numFmtId="3" fontId="107" fillId="0" borderId="0" xfId="2" applyNumberFormat="1" applyFont="1" applyFill="1" applyBorder="1" applyAlignment="1" applyProtection="1">
      <alignment horizontal="left" vertical="center"/>
      <protection locked="0"/>
    </xf>
    <xf numFmtId="0" fontId="107" fillId="0" borderId="0" xfId="2" applyFont="1" applyAlignment="1">
      <alignment horizontal="center"/>
    </xf>
    <xf numFmtId="0" fontId="107" fillId="0" borderId="0" xfId="2" applyFont="1" applyAlignment="1">
      <alignment horizontal="left"/>
    </xf>
    <xf numFmtId="168" fontId="107" fillId="0" borderId="0" xfId="1" applyNumberFormat="1" applyFont="1" applyAlignment="1">
      <alignment horizontal="left"/>
    </xf>
    <xf numFmtId="168" fontId="107" fillId="0" borderId="0" xfId="1" applyNumberFormat="1" applyFont="1" applyAlignment="1">
      <alignment horizontal="right"/>
    </xf>
    <xf numFmtId="0" fontId="107" fillId="0" borderId="30" xfId="2" applyFont="1" applyBorder="1" applyAlignment="1">
      <alignment vertical="center"/>
    </xf>
    <xf numFmtId="169" fontId="108" fillId="0" borderId="0" xfId="17" applyNumberFormat="1" applyFont="1" applyFill="1" applyBorder="1" applyAlignment="1"/>
    <xf numFmtId="167" fontId="108" fillId="0" borderId="0" xfId="17" applyNumberFormat="1" applyFont="1" applyFill="1" applyBorder="1" applyAlignment="1"/>
    <xf numFmtId="0" fontId="114" fillId="0" borderId="0" xfId="2" applyFont="1" applyFill="1" applyBorder="1" applyAlignment="1"/>
    <xf numFmtId="0" fontId="113" fillId="0" borderId="0" xfId="2" applyFont="1" applyFill="1"/>
    <xf numFmtId="0" fontId="117" fillId="0" borderId="0" xfId="2" applyFont="1" applyFill="1" applyAlignment="1">
      <alignment horizontal="center"/>
    </xf>
    <xf numFmtId="0" fontId="118" fillId="0" borderId="0" xfId="2" applyFont="1" applyFill="1"/>
    <xf numFmtId="0" fontId="119" fillId="0" borderId="0" xfId="2" applyFont="1" applyBorder="1" applyAlignment="1">
      <alignment horizontal="left" vertical="center" wrapText="1"/>
    </xf>
    <xf numFmtId="0" fontId="121" fillId="0" borderId="0" xfId="2" applyFont="1"/>
    <xf numFmtId="0" fontId="122" fillId="0" borderId="0" xfId="2" applyFont="1"/>
    <xf numFmtId="0" fontId="98" fillId="0" borderId="17" xfId="2" applyFont="1" applyBorder="1" applyAlignment="1">
      <alignment horizontal="left" vertical="center" wrapText="1"/>
    </xf>
    <xf numFmtId="0" fontId="98" fillId="0" borderId="0" xfId="2" applyFont="1" applyBorder="1" applyAlignment="1">
      <alignment horizontal="left" vertical="center" wrapText="1"/>
    </xf>
    <xf numFmtId="169" fontId="107" fillId="0" borderId="0" xfId="17" applyNumberFormat="1" applyFont="1" applyBorder="1" applyAlignment="1">
      <alignment horizontal="left" vertical="center"/>
    </xf>
    <xf numFmtId="169" fontId="107" fillId="0" borderId="0" xfId="17" applyNumberFormat="1" applyFont="1" applyBorder="1" applyAlignment="1">
      <alignment horizontal="left" vertical="center" wrapText="1"/>
    </xf>
    <xf numFmtId="169" fontId="107" fillId="0" borderId="0" xfId="17" applyNumberFormat="1" applyFont="1" applyBorder="1" applyAlignment="1">
      <alignment horizontal="left"/>
    </xf>
    <xf numFmtId="168" fontId="107" fillId="0" borderId="0" xfId="1" applyNumberFormat="1" applyFont="1" applyBorder="1" applyAlignment="1">
      <alignment horizontal="left"/>
    </xf>
    <xf numFmtId="168" fontId="107" fillId="0" borderId="0" xfId="1" applyNumberFormat="1" applyFont="1" applyBorder="1"/>
    <xf numFmtId="0" fontId="107" fillId="0" borderId="30" xfId="2" applyFont="1" applyBorder="1"/>
    <xf numFmtId="169" fontId="108" fillId="0" borderId="0" xfId="17" applyNumberFormat="1" applyFont="1" applyFill="1" applyBorder="1" applyAlignment="1">
      <alignment horizontal="left"/>
    </xf>
    <xf numFmtId="0" fontId="119" fillId="0" borderId="0" xfId="2" applyFont="1"/>
    <xf numFmtId="0" fontId="114" fillId="0" borderId="0" xfId="2" applyFont="1"/>
    <xf numFmtId="3" fontId="114" fillId="0" borderId="0" xfId="2" applyNumberFormat="1" applyFont="1" applyFill="1" applyBorder="1" applyAlignment="1" applyProtection="1">
      <alignment vertical="center" wrapText="1"/>
      <protection locked="0"/>
    </xf>
    <xf numFmtId="3" fontId="114" fillId="0" borderId="0" xfId="2" applyNumberFormat="1" applyFont="1" applyFill="1" applyBorder="1" applyAlignment="1" applyProtection="1">
      <alignment horizontal="center" vertical="center" wrapText="1"/>
      <protection locked="0"/>
    </xf>
    <xf numFmtId="169" fontId="113" fillId="0" borderId="0" xfId="17" applyNumberFormat="1" applyFont="1" applyAlignment="1">
      <alignment horizontal="right"/>
    </xf>
    <xf numFmtId="168" fontId="107" fillId="0" borderId="0" xfId="1" applyNumberFormat="1" applyFont="1" applyFill="1" applyAlignment="1">
      <alignment horizontal="right" vertical="center"/>
    </xf>
    <xf numFmtId="168" fontId="107" fillId="0" borderId="0" xfId="1" applyNumberFormat="1" applyFont="1" applyFill="1" applyBorder="1" applyAlignment="1" applyProtection="1">
      <alignment horizontal="center" vertical="center" wrapText="1"/>
      <protection locked="0"/>
    </xf>
    <xf numFmtId="168" fontId="107" fillId="0" borderId="0" xfId="1" applyNumberFormat="1" applyFont="1" applyFill="1" applyAlignment="1">
      <alignment horizontal="left" vertical="center"/>
    </xf>
    <xf numFmtId="168" fontId="107" fillId="0" borderId="0" xfId="1" applyNumberFormat="1" applyFont="1" applyBorder="1" applyAlignment="1">
      <alignment vertical="center"/>
    </xf>
    <xf numFmtId="0" fontId="98" fillId="0" borderId="30" xfId="2" applyFont="1" applyBorder="1" applyAlignment="1">
      <alignment horizontal="center"/>
    </xf>
    <xf numFmtId="168" fontId="113" fillId="0" borderId="0" xfId="2" applyNumberFormat="1" applyFont="1"/>
    <xf numFmtId="169" fontId="123" fillId="0" borderId="0" xfId="18" applyNumberFormat="1" applyFont="1" applyBorder="1" applyAlignment="1">
      <alignment horizontal="center" vertical="center"/>
    </xf>
    <xf numFmtId="167" fontId="124" fillId="0" borderId="0" xfId="18" applyNumberFormat="1" applyFont="1" applyAlignment="1"/>
    <xf numFmtId="169" fontId="124" fillId="0" borderId="0" xfId="18" applyNumberFormat="1" applyFont="1"/>
    <xf numFmtId="169" fontId="125" fillId="0" borderId="0" xfId="18" applyNumberFormat="1" applyFont="1" applyBorder="1" applyAlignment="1">
      <alignment horizontal="center" vertical="center"/>
    </xf>
    <xf numFmtId="0" fontId="126" fillId="0" borderId="0" xfId="2" applyFont="1" applyBorder="1" applyAlignment="1">
      <alignment horizontal="center" vertical="center"/>
    </xf>
    <xf numFmtId="169" fontId="127" fillId="0" borderId="0" xfId="18" applyNumberFormat="1" applyFont="1" applyFill="1" applyBorder="1" applyAlignment="1">
      <alignment horizontal="center" vertical="center" wrapText="1"/>
    </xf>
    <xf numFmtId="0" fontId="128" fillId="3" borderId="0" xfId="2" applyFont="1" applyFill="1" applyBorder="1" applyAlignment="1">
      <alignment horizontal="left" vertical="center"/>
    </xf>
    <xf numFmtId="169" fontId="129" fillId="3" borderId="0" xfId="18" applyNumberFormat="1" applyFont="1" applyFill="1" applyBorder="1" applyAlignment="1">
      <alignment horizontal="center" vertical="center" wrapText="1"/>
    </xf>
    <xf numFmtId="169" fontId="129" fillId="0" borderId="0" xfId="18" applyNumberFormat="1" applyFont="1" applyFill="1" applyBorder="1" applyAlignment="1">
      <alignment horizontal="center" vertical="center" wrapText="1"/>
    </xf>
    <xf numFmtId="167" fontId="130" fillId="0" borderId="0" xfId="18" applyNumberFormat="1" applyFont="1" applyAlignment="1"/>
    <xf numFmtId="169" fontId="130" fillId="0" borderId="0" xfId="18" applyNumberFormat="1" applyFont="1"/>
    <xf numFmtId="169" fontId="131" fillId="0" borderId="17" xfId="18" applyNumberFormat="1" applyFont="1" applyFill="1" applyBorder="1" applyAlignment="1">
      <alignment horizontal="center" vertical="center" wrapText="1"/>
    </xf>
    <xf numFmtId="169" fontId="132" fillId="0" borderId="31" xfId="18" applyNumberFormat="1" applyFont="1" applyBorder="1" applyAlignment="1">
      <alignment horizontal="center" vertical="center" wrapText="1"/>
    </xf>
    <xf numFmtId="169" fontId="133" fillId="0" borderId="31" xfId="18" applyNumberFormat="1" applyFont="1" applyFill="1" applyBorder="1" applyAlignment="1">
      <alignment horizontal="center" vertical="center" wrapText="1"/>
    </xf>
    <xf numFmtId="167" fontId="132" fillId="0" borderId="10" xfId="18" applyNumberFormat="1" applyFont="1" applyFill="1" applyBorder="1" applyAlignment="1">
      <alignment horizontal="center" vertical="center" wrapText="1"/>
    </xf>
    <xf numFmtId="169" fontId="132" fillId="0" borderId="10" xfId="18" applyNumberFormat="1" applyFont="1" applyFill="1" applyBorder="1" applyAlignment="1">
      <alignment horizontal="center" vertical="center" wrapText="1"/>
    </xf>
    <xf numFmtId="167" fontId="132" fillId="2" borderId="10" xfId="18" applyNumberFormat="1" applyFont="1" applyFill="1" applyBorder="1" applyAlignment="1">
      <alignment horizontal="center" vertical="center" wrapText="1"/>
    </xf>
    <xf numFmtId="169" fontId="134" fillId="0" borderId="10" xfId="18" applyNumberFormat="1" applyFont="1" applyFill="1" applyBorder="1" applyAlignment="1">
      <alignment horizontal="center" vertical="center" wrapText="1"/>
    </xf>
    <xf numFmtId="167" fontId="134" fillId="0" borderId="10" xfId="18" applyNumberFormat="1" applyFont="1" applyFill="1" applyBorder="1" applyAlignment="1">
      <alignment vertical="center" wrapText="1"/>
    </xf>
    <xf numFmtId="169" fontId="134" fillId="0" borderId="0" xfId="18" applyNumberFormat="1" applyFont="1" applyBorder="1"/>
    <xf numFmtId="169" fontId="132" fillId="0" borderId="32" xfId="18" applyNumberFormat="1" applyFont="1" applyBorder="1" applyAlignment="1">
      <alignment horizontal="center" vertical="center" wrapText="1"/>
    </xf>
    <xf numFmtId="169" fontId="133" fillId="0" borderId="32" xfId="18" applyNumberFormat="1" applyFont="1" applyFill="1" applyBorder="1" applyAlignment="1">
      <alignment horizontal="center" vertical="center" wrapText="1"/>
    </xf>
    <xf numFmtId="169" fontId="132" fillId="0" borderId="33" xfId="18" applyNumberFormat="1" applyFont="1" applyFill="1" applyBorder="1" applyAlignment="1">
      <alignment horizontal="center" vertical="center" wrapText="1"/>
    </xf>
    <xf numFmtId="167" fontId="132" fillId="0" borderId="32" xfId="18" applyNumberFormat="1" applyFont="1" applyFill="1" applyBorder="1" applyAlignment="1">
      <alignment vertical="center" wrapText="1"/>
    </xf>
    <xf numFmtId="169" fontId="135" fillId="0" borderId="0" xfId="18" applyNumberFormat="1" applyFont="1" applyBorder="1"/>
    <xf numFmtId="3" fontId="133" fillId="0" borderId="10" xfId="2" applyNumberFormat="1" applyFont="1" applyFill="1" applyBorder="1" applyAlignment="1" applyProtection="1">
      <alignment horizontal="center" vertical="center"/>
      <protection locked="0"/>
    </xf>
    <xf numFmtId="169" fontId="133" fillId="0" borderId="10" xfId="18" applyNumberFormat="1" applyFont="1" applyFill="1" applyBorder="1" applyAlignment="1">
      <alignment vertical="center"/>
    </xf>
    <xf numFmtId="167" fontId="136" fillId="0" borderId="10" xfId="18" applyNumberFormat="1" applyFont="1" applyFill="1" applyBorder="1" applyAlignment="1">
      <alignment vertical="center"/>
    </xf>
    <xf numFmtId="169" fontId="136" fillId="0" borderId="10" xfId="18" applyNumberFormat="1" applyFont="1" applyFill="1" applyBorder="1" applyAlignment="1">
      <alignment vertical="center"/>
    </xf>
    <xf numFmtId="167" fontId="133" fillId="0" borderId="10" xfId="18" applyNumberFormat="1" applyFont="1" applyFill="1" applyBorder="1" applyAlignment="1">
      <alignment vertical="center"/>
    </xf>
    <xf numFmtId="0" fontId="136" fillId="0" borderId="10" xfId="18" applyNumberFormat="1" applyFont="1" applyFill="1" applyBorder="1" applyAlignment="1">
      <alignment horizontal="center" vertical="center"/>
    </xf>
    <xf numFmtId="167" fontId="136" fillId="0" borderId="10" xfId="18" applyNumberFormat="1" applyFont="1" applyFill="1" applyBorder="1" applyAlignment="1">
      <alignment horizontal="right" vertical="center"/>
    </xf>
    <xf numFmtId="167" fontId="133" fillId="0" borderId="10" xfId="18" applyNumberFormat="1" applyFont="1" applyFill="1" applyBorder="1" applyAlignment="1">
      <alignment horizontal="right" vertical="center"/>
    </xf>
    <xf numFmtId="169" fontId="137" fillId="0" borderId="34" xfId="18" applyNumberFormat="1" applyFont="1" applyFill="1" applyBorder="1" applyAlignment="1">
      <alignment horizontal="center"/>
    </xf>
    <xf numFmtId="167" fontId="138" fillId="0" borderId="10" xfId="18" applyNumberFormat="1" applyFont="1" applyFill="1" applyBorder="1" applyAlignment="1"/>
    <xf numFmtId="169" fontId="137" fillId="0" borderId="0" xfId="18" applyNumberFormat="1" applyFont="1" applyFill="1" applyBorder="1"/>
    <xf numFmtId="169" fontId="133" fillId="0" borderId="10" xfId="18" applyNumberFormat="1" applyFont="1" applyFill="1" applyBorder="1" applyAlignment="1">
      <alignment vertical="center" wrapText="1"/>
    </xf>
    <xf numFmtId="167" fontId="138" fillId="0" borderId="10" xfId="18" applyNumberFormat="1" applyFont="1" applyFill="1" applyBorder="1" applyAlignment="1">
      <alignment horizontal="center"/>
    </xf>
    <xf numFmtId="169" fontId="137" fillId="0" borderId="10" xfId="18" applyNumberFormat="1" applyFont="1" applyFill="1" applyBorder="1" applyAlignment="1">
      <alignment horizontal="center"/>
    </xf>
    <xf numFmtId="167" fontId="133" fillId="2" borderId="10" xfId="18" applyNumberFormat="1" applyFont="1" applyFill="1" applyBorder="1" applyAlignment="1">
      <alignment horizontal="right" vertical="center"/>
    </xf>
    <xf numFmtId="169" fontId="137" fillId="0" borderId="0" xfId="18" applyNumberFormat="1" applyFont="1" applyBorder="1"/>
    <xf numFmtId="169" fontId="138" fillId="0" borderId="10" xfId="18" applyNumberFormat="1" applyFont="1" applyFill="1" applyBorder="1" applyAlignment="1">
      <alignment horizontal="center" vertical="center"/>
    </xf>
    <xf numFmtId="167" fontId="138" fillId="0" borderId="10" xfId="18" applyNumberFormat="1" applyFont="1" applyFill="1" applyBorder="1" applyAlignment="1">
      <alignment vertical="center"/>
    </xf>
    <xf numFmtId="169" fontId="137" fillId="0" borderId="0" xfId="18" applyNumberFormat="1" applyFont="1" applyBorder="1" applyAlignment="1">
      <alignment vertical="center"/>
    </xf>
    <xf numFmtId="167" fontId="137" fillId="0" borderId="0" xfId="18" applyNumberFormat="1" applyFont="1" applyBorder="1" applyAlignment="1"/>
    <xf numFmtId="169" fontId="137" fillId="0" borderId="0" xfId="18" applyNumberFormat="1" applyFont="1"/>
    <xf numFmtId="167" fontId="137" fillId="0" borderId="0" xfId="18" applyNumberFormat="1" applyFont="1" applyAlignment="1"/>
    <xf numFmtId="169" fontId="139" fillId="0" borderId="35" xfId="18" applyNumberFormat="1" applyFont="1" applyFill="1" applyBorder="1" applyAlignment="1">
      <alignment horizontal="right" vertical="center"/>
    </xf>
    <xf numFmtId="169" fontId="139" fillId="0" borderId="36" xfId="18" applyNumberFormat="1" applyFont="1" applyFill="1" applyBorder="1" applyAlignment="1">
      <alignment horizontal="right" vertical="center"/>
    </xf>
    <xf numFmtId="167" fontId="133" fillId="2" borderId="37" xfId="18" applyNumberFormat="1" applyFont="1" applyFill="1" applyBorder="1" applyAlignment="1">
      <alignment horizontal="right" vertical="center"/>
    </xf>
    <xf numFmtId="169" fontId="132" fillId="0" borderId="0" xfId="18" applyNumberFormat="1" applyFont="1"/>
    <xf numFmtId="169" fontId="100" fillId="0" borderId="0" xfId="18" applyNumberFormat="1" applyFont="1"/>
    <xf numFmtId="167" fontId="100" fillId="0" borderId="0" xfId="18" applyNumberFormat="1" applyFont="1"/>
    <xf numFmtId="167" fontId="100" fillId="0" borderId="0" xfId="18" applyNumberFormat="1" applyFont="1" applyFill="1"/>
    <xf numFmtId="167" fontId="140" fillId="0" borderId="0" xfId="18" applyNumberFormat="1" applyFont="1"/>
    <xf numFmtId="167" fontId="100" fillId="0" borderId="0" xfId="18" applyNumberFormat="1" applyFont="1" applyAlignment="1">
      <alignment horizontal="center"/>
    </xf>
    <xf numFmtId="169" fontId="141" fillId="0" borderId="0" xfId="18" applyNumberFormat="1" applyFont="1"/>
    <xf numFmtId="167" fontId="141" fillId="0" borderId="0" xfId="18" applyNumberFormat="1" applyFont="1" applyAlignment="1"/>
    <xf numFmtId="167" fontId="135" fillId="0" borderId="0" xfId="18" applyNumberFormat="1" applyFont="1"/>
    <xf numFmtId="167" fontId="135" fillId="0" borderId="0" xfId="18" applyNumberFormat="1" applyFont="1" applyFill="1"/>
    <xf numFmtId="167" fontId="137" fillId="0" borderId="0" xfId="18" applyNumberFormat="1" applyFont="1"/>
    <xf numFmtId="0" fontId="142" fillId="0" borderId="0" xfId="2" applyFont="1" applyBorder="1" applyAlignment="1">
      <alignment horizontal="center" vertical="center"/>
    </xf>
    <xf numFmtId="0" fontId="112" fillId="0" borderId="0" xfId="2" applyFont="1" applyBorder="1" applyAlignment="1">
      <alignment vertical="center"/>
    </xf>
    <xf numFmtId="0" fontId="97" fillId="0" borderId="0" xfId="2" applyFont="1" applyBorder="1" applyAlignment="1">
      <alignment vertical="center"/>
    </xf>
    <xf numFmtId="0" fontId="98" fillId="0" borderId="0" xfId="2" applyFont="1" applyBorder="1" applyAlignment="1">
      <alignment vertical="center"/>
    </xf>
    <xf numFmtId="0" fontId="115" fillId="0" borderId="0" xfId="2" applyFont="1" applyFill="1" applyAlignment="1">
      <alignment horizontal="center"/>
    </xf>
    <xf numFmtId="0" fontId="101" fillId="3" borderId="0" xfId="2" applyFont="1" applyFill="1" applyBorder="1" applyAlignment="1">
      <alignment horizontal="left" vertical="center"/>
    </xf>
    <xf numFmtId="0" fontId="101" fillId="3" borderId="0" xfId="2" applyFont="1" applyFill="1" applyBorder="1" applyAlignment="1">
      <alignment horizontal="left" vertical="center"/>
    </xf>
    <xf numFmtId="0" fontId="109" fillId="3" borderId="0" xfId="2" applyFont="1" applyFill="1" applyBorder="1" applyAlignment="1">
      <alignment vertical="center"/>
    </xf>
    <xf numFmtId="169" fontId="97" fillId="0" borderId="0" xfId="6" applyNumberFormat="1" applyFont="1" applyFill="1" applyBorder="1" applyAlignment="1">
      <alignment vertical="center" wrapText="1"/>
    </xf>
    <xf numFmtId="0" fontId="108" fillId="0" borderId="0" xfId="2" applyFont="1" applyFill="1" applyBorder="1" applyAlignment="1">
      <alignment horizontal="left"/>
    </xf>
    <xf numFmtId="0" fontId="143" fillId="0" borderId="0" xfId="2" applyFont="1" applyFill="1"/>
    <xf numFmtId="169" fontId="119" fillId="0" borderId="17" xfId="6" applyNumberFormat="1" applyFont="1" applyFill="1" applyBorder="1" applyAlignment="1">
      <alignment horizontal="left" vertical="center" wrapText="1"/>
    </xf>
    <xf numFmtId="0" fontId="108" fillId="0" borderId="17" xfId="2" applyFont="1" applyFill="1" applyBorder="1" applyAlignment="1"/>
    <xf numFmtId="3" fontId="107" fillId="0" borderId="0" xfId="2" applyNumberFormat="1" applyFont="1" applyFill="1" applyBorder="1" applyAlignment="1" applyProtection="1">
      <alignment horizontal="center" vertical="center"/>
      <protection locked="0"/>
    </xf>
    <xf numFmtId="169" fontId="107" fillId="0" borderId="0" xfId="6" applyNumberFormat="1" applyFont="1" applyFill="1" applyBorder="1" applyAlignment="1">
      <alignment vertical="center"/>
    </xf>
    <xf numFmtId="168" fontId="107" fillId="0" borderId="0" xfId="1" applyNumberFormat="1" applyFont="1" applyFill="1" applyBorder="1" applyAlignment="1">
      <alignment vertical="center"/>
    </xf>
    <xf numFmtId="169" fontId="98" fillId="0" borderId="30" xfId="6" applyNumberFormat="1" applyFont="1" applyFill="1" applyBorder="1" applyAlignment="1">
      <alignment vertical="center"/>
    </xf>
    <xf numFmtId="169" fontId="108" fillId="0" borderId="0" xfId="6" applyNumberFormat="1" applyFont="1" applyFill="1" applyBorder="1" applyAlignment="1">
      <alignment vertical="center" wrapText="1"/>
    </xf>
    <xf numFmtId="0" fontId="143" fillId="0" borderId="0" xfId="2" applyFont="1"/>
    <xf numFmtId="169" fontId="108" fillId="0" borderId="0" xfId="6" applyNumberFormat="1" applyFont="1" applyFill="1" applyBorder="1" applyAlignment="1">
      <alignment horizontal="left" vertical="center" wrapText="1"/>
    </xf>
    <xf numFmtId="0" fontId="144" fillId="0" borderId="0" xfId="2" applyFont="1" applyFill="1" applyAlignment="1">
      <alignment horizontal="center"/>
    </xf>
    <xf numFmtId="0" fontId="144" fillId="0" borderId="0" xfId="2" applyFont="1" applyFill="1" applyAlignment="1">
      <alignment horizontal="center" vertical="center"/>
    </xf>
    <xf numFmtId="174" fontId="107" fillId="0" borderId="0" xfId="6" applyNumberFormat="1" applyFont="1" applyFill="1" applyBorder="1" applyAlignment="1">
      <alignment vertical="center"/>
    </xf>
    <xf numFmtId="169" fontId="98" fillId="0" borderId="30" xfId="6" applyNumberFormat="1" applyFont="1" applyFill="1" applyBorder="1" applyAlignment="1">
      <alignment horizontal="center" vertical="center"/>
    </xf>
    <xf numFmtId="169" fontId="108" fillId="0" borderId="0" xfId="6" applyNumberFormat="1" applyFont="1" applyBorder="1"/>
    <xf numFmtId="0" fontId="102" fillId="3" borderId="0" xfId="2" applyFont="1" applyFill="1" applyBorder="1" applyAlignment="1">
      <alignment horizontal="left" vertical="center"/>
    </xf>
    <xf numFmtId="0" fontId="145" fillId="3" borderId="0" xfId="2" applyFont="1" applyFill="1" applyBorder="1" applyAlignment="1">
      <alignment vertical="center"/>
    </xf>
    <xf numFmtId="0" fontId="146" fillId="3" borderId="0" xfId="2" applyFont="1" applyFill="1" applyAlignment="1">
      <alignment vertical="center"/>
    </xf>
    <xf numFmtId="169" fontId="119" fillId="0" borderId="17" xfId="6" applyNumberFormat="1" applyFont="1" applyBorder="1" applyAlignment="1">
      <alignment horizontal="left" vertical="center" wrapText="1"/>
    </xf>
    <xf numFmtId="169" fontId="119" fillId="0" borderId="0" xfId="6" applyNumberFormat="1" applyFont="1" applyBorder="1" applyAlignment="1">
      <alignment horizontal="left" vertical="center" wrapText="1"/>
    </xf>
    <xf numFmtId="0" fontId="121" fillId="0" borderId="0" xfId="2" applyFont="1" applyBorder="1"/>
    <xf numFmtId="3" fontId="98" fillId="0" borderId="24" xfId="2" applyNumberFormat="1" applyFont="1" applyFill="1" applyBorder="1" applyAlignment="1" applyProtection="1">
      <alignment vertical="center"/>
      <protection locked="0"/>
    </xf>
    <xf numFmtId="3" fontId="98" fillId="0" borderId="24" xfId="2" applyNumberFormat="1" applyFont="1" applyFill="1" applyBorder="1" applyAlignment="1" applyProtection="1">
      <alignment horizontal="center" vertical="center"/>
      <protection locked="0"/>
    </xf>
    <xf numFmtId="3" fontId="98" fillId="0" borderId="0" xfId="2" applyNumberFormat="1" applyFont="1" applyFill="1" applyBorder="1" applyAlignment="1" applyProtection="1">
      <alignment vertical="center"/>
      <protection locked="0"/>
    </xf>
    <xf numFmtId="3" fontId="98" fillId="0" borderId="0" xfId="2" applyNumberFormat="1" applyFont="1" applyFill="1" applyBorder="1" applyAlignment="1" applyProtection="1">
      <alignment horizontal="center" vertical="center"/>
      <protection locked="0"/>
    </xf>
    <xf numFmtId="3" fontId="107" fillId="0" borderId="0" xfId="2" applyNumberFormat="1" applyFont="1" applyFill="1" applyBorder="1" applyAlignment="1" applyProtection="1">
      <alignment vertical="center"/>
      <protection locked="0"/>
    </xf>
    <xf numFmtId="169" fontId="107" fillId="0" borderId="0" xfId="6" applyNumberFormat="1" applyFont="1" applyBorder="1" applyAlignment="1">
      <alignment vertical="center"/>
    </xf>
    <xf numFmtId="169" fontId="99" fillId="0" borderId="0" xfId="6" applyNumberFormat="1" applyFont="1" applyFill="1" applyBorder="1"/>
    <xf numFmtId="169" fontId="99" fillId="0" borderId="0" xfId="6" applyNumberFormat="1" applyFont="1" applyFill="1" applyBorder="1" applyAlignment="1">
      <alignment horizontal="left"/>
    </xf>
    <xf numFmtId="4" fontId="99" fillId="0" borderId="0" xfId="2" applyNumberFormat="1" applyFont="1" applyFill="1" applyBorder="1"/>
    <xf numFmtId="169" fontId="119" fillId="0" borderId="0" xfId="6" applyNumberFormat="1" applyFont="1" applyBorder="1" applyAlignment="1">
      <alignment vertical="center"/>
    </xf>
    <xf numFmtId="3" fontId="107" fillId="0" borderId="0" xfId="2" applyNumberFormat="1" applyFont="1" applyFill="1" applyBorder="1" applyAlignment="1" applyProtection="1">
      <alignment horizontal="center"/>
      <protection locked="0"/>
    </xf>
    <xf numFmtId="167" fontId="107" fillId="0" borderId="0" xfId="2" applyNumberFormat="1" applyFont="1"/>
    <xf numFmtId="168" fontId="107" fillId="0" borderId="0" xfId="1" applyNumberFormat="1" applyFont="1" applyFill="1" applyBorder="1"/>
    <xf numFmtId="169" fontId="107" fillId="0" borderId="0" xfId="6" applyNumberFormat="1" applyFont="1" applyBorder="1" applyAlignment="1"/>
    <xf numFmtId="169" fontId="108" fillId="0" borderId="0" xfId="6" applyNumberFormat="1" applyFont="1" applyFill="1" applyBorder="1" applyAlignment="1">
      <alignment vertical="center"/>
    </xf>
    <xf numFmtId="168" fontId="108" fillId="0" borderId="0" xfId="6" applyNumberFormat="1" applyFont="1" applyFill="1" applyBorder="1" applyAlignment="1">
      <alignment vertical="center"/>
    </xf>
    <xf numFmtId="168" fontId="108" fillId="0" borderId="0" xfId="2" applyNumberFormat="1" applyFont="1" applyFill="1" applyBorder="1" applyAlignment="1">
      <alignment vertical="center"/>
    </xf>
    <xf numFmtId="0" fontId="143" fillId="0" borderId="0" xfId="2" applyFont="1" applyAlignment="1">
      <alignment vertical="center"/>
    </xf>
    <xf numFmtId="169" fontId="108" fillId="0" borderId="0" xfId="6" applyNumberFormat="1" applyFont="1" applyFill="1" applyBorder="1"/>
    <xf numFmtId="4" fontId="108" fillId="0" borderId="0" xfId="2" applyNumberFormat="1" applyFont="1" applyFill="1" applyBorder="1"/>
    <xf numFmtId="0" fontId="101" fillId="3" borderId="0" xfId="2" applyFont="1" applyFill="1" applyBorder="1" applyAlignment="1">
      <alignment vertical="center"/>
    </xf>
    <xf numFmtId="169" fontId="98" fillId="0" borderId="0" xfId="6" applyNumberFormat="1" applyFont="1" applyBorder="1" applyAlignment="1">
      <alignment vertical="center"/>
    </xf>
    <xf numFmtId="0" fontId="107" fillId="0" borderId="0" xfId="2" applyFont="1" applyBorder="1" applyAlignment="1">
      <alignment vertical="center"/>
    </xf>
    <xf numFmtId="169" fontId="107" fillId="0" borderId="0" xfId="6" applyNumberFormat="1" applyFont="1" applyBorder="1" applyAlignment="1">
      <alignment horizontal="left" vertical="center" wrapText="1"/>
    </xf>
    <xf numFmtId="168" fontId="107" fillId="0" borderId="0" xfId="1" applyNumberFormat="1" applyFont="1" applyBorder="1" applyAlignment="1">
      <alignment horizontal="left" vertical="center" wrapText="1"/>
    </xf>
    <xf numFmtId="169" fontId="108" fillId="0" borderId="0" xfId="6" applyNumberFormat="1" applyFont="1" applyFill="1" applyBorder="1" applyAlignment="1"/>
    <xf numFmtId="167" fontId="108" fillId="0" borderId="0" xfId="6" applyNumberFormat="1" applyFont="1" applyFill="1" applyBorder="1" applyAlignment="1">
      <alignment horizontal="left"/>
    </xf>
    <xf numFmtId="167" fontId="108" fillId="0" borderId="0" xfId="2" applyNumberFormat="1" applyFont="1" applyFill="1" applyBorder="1"/>
    <xf numFmtId="0" fontId="144" fillId="0" borderId="0" xfId="2" applyFont="1" applyFill="1" applyBorder="1" applyAlignment="1">
      <alignment horizontal="center" vertical="center"/>
    </xf>
    <xf numFmtId="0" fontId="147" fillId="3" borderId="0" xfId="2" applyFont="1" applyFill="1" applyBorder="1" applyAlignment="1">
      <alignment vertical="center"/>
    </xf>
    <xf numFmtId="169" fontId="97" fillId="0" borderId="0" xfId="8" applyNumberFormat="1" applyFont="1" applyFill="1" applyBorder="1" applyAlignment="1">
      <alignment vertical="center"/>
    </xf>
    <xf numFmtId="169" fontId="107" fillId="0" borderId="0" xfId="8" applyNumberFormat="1" applyFont="1" applyBorder="1"/>
    <xf numFmtId="0" fontId="107" fillId="0" borderId="0" xfId="2" applyFont="1" applyBorder="1"/>
    <xf numFmtId="0" fontId="144" fillId="0" borderId="0" xfId="2" applyFont="1" applyFill="1" applyBorder="1" applyAlignment="1">
      <alignment horizontal="center"/>
    </xf>
    <xf numFmtId="164" fontId="107" fillId="0" borderId="0" xfId="1" applyFont="1"/>
    <xf numFmtId="169" fontId="107" fillId="0" borderId="0" xfId="8" applyNumberFormat="1" applyFont="1" applyBorder="1" applyAlignment="1">
      <alignment vertical="center"/>
    </xf>
    <xf numFmtId="169" fontId="98" fillId="0" borderId="0" xfId="8" applyNumberFormat="1" applyFont="1" applyBorder="1"/>
    <xf numFmtId="0" fontId="98" fillId="0" borderId="0" xfId="2" applyFont="1"/>
    <xf numFmtId="168" fontId="98" fillId="0" borderId="0" xfId="1" applyNumberFormat="1" applyFont="1"/>
    <xf numFmtId="168" fontId="98" fillId="0" borderId="30" xfId="1" applyNumberFormat="1" applyFont="1" applyBorder="1" applyAlignment="1">
      <alignment vertical="center"/>
    </xf>
    <xf numFmtId="169" fontId="108" fillId="0" borderId="0" xfId="8" applyNumberFormat="1" applyFont="1" applyBorder="1" applyAlignment="1">
      <alignment vertical="center"/>
    </xf>
    <xf numFmtId="3" fontId="108" fillId="0" borderId="0" xfId="2" applyNumberFormat="1" applyFont="1" applyBorder="1" applyAlignment="1">
      <alignment vertical="center"/>
    </xf>
    <xf numFmtId="169" fontId="135" fillId="0" borderId="0" xfId="8" applyNumberFormat="1" applyFont="1" applyBorder="1"/>
    <xf numFmtId="4" fontId="135" fillId="0" borderId="0" xfId="2" applyNumberFormat="1" applyFont="1" applyBorder="1"/>
    <xf numFmtId="0" fontId="135" fillId="0" borderId="0" xfId="2" applyFont="1" applyBorder="1"/>
    <xf numFmtId="4" fontId="115" fillId="0" borderId="0" xfId="2" applyNumberFormat="1" applyFont="1" applyFill="1" applyBorder="1" applyAlignment="1">
      <alignment horizontal="center"/>
    </xf>
    <xf numFmtId="0" fontId="148" fillId="0" borderId="0" xfId="2" applyFont="1"/>
    <xf numFmtId="169" fontId="119" fillId="0" borderId="0" xfId="8" applyNumberFormat="1" applyFont="1" applyBorder="1" applyAlignment="1">
      <alignment horizontal="left" vertical="center"/>
    </xf>
    <xf numFmtId="3" fontId="144" fillId="0" borderId="0" xfId="2" applyNumberFormat="1" applyFont="1" applyFill="1" applyBorder="1" applyAlignment="1" applyProtection="1">
      <alignment horizontal="center" vertical="center" wrapText="1"/>
      <protection locked="0"/>
    </xf>
    <xf numFmtId="3" fontId="120" fillId="0" borderId="0" xfId="2" applyNumberFormat="1" applyFont="1" applyFill="1" applyBorder="1" applyAlignment="1" applyProtection="1">
      <alignment horizontal="center" vertical="center" wrapText="1"/>
      <protection locked="0"/>
    </xf>
    <xf numFmtId="3" fontId="107" fillId="0" borderId="0" xfId="8" applyNumberFormat="1" applyFont="1" applyBorder="1" applyAlignment="1">
      <alignment horizontal="center"/>
    </xf>
    <xf numFmtId="164" fontId="107" fillId="0" borderId="0" xfId="1" applyFont="1" applyBorder="1"/>
    <xf numFmtId="164" fontId="98" fillId="0" borderId="0" xfId="1" applyFont="1" applyFill="1" applyBorder="1" applyAlignment="1" applyProtection="1">
      <alignment horizontal="center" vertical="center" wrapText="1"/>
      <protection locked="0"/>
    </xf>
    <xf numFmtId="169" fontId="144" fillId="0" borderId="0" xfId="8" applyNumberFormat="1" applyFont="1" applyFill="1" applyBorder="1" applyAlignment="1" applyProtection="1">
      <alignment horizontal="center" vertical="center" wrapText="1"/>
      <protection locked="0"/>
    </xf>
    <xf numFmtId="169" fontId="149" fillId="0" borderId="0" xfId="8" applyNumberFormat="1" applyFont="1" applyBorder="1"/>
    <xf numFmtId="3" fontId="107" fillId="0" borderId="0" xfId="8" applyNumberFormat="1" applyFont="1" applyBorder="1" applyAlignment="1">
      <alignment horizontal="center" vertical="center"/>
    </xf>
    <xf numFmtId="169" fontId="144" fillId="0" borderId="0" xfId="8" applyNumberFormat="1" applyFont="1" applyFill="1" applyBorder="1" applyAlignment="1">
      <alignment horizontal="center" vertical="center"/>
    </xf>
    <xf numFmtId="167" fontId="120" fillId="0" borderId="0" xfId="8" applyNumberFormat="1" applyFont="1" applyFill="1" applyBorder="1" applyAlignment="1">
      <alignment vertical="center"/>
    </xf>
    <xf numFmtId="168" fontId="98" fillId="0" borderId="0" xfId="1" applyNumberFormat="1" applyFont="1" applyBorder="1" applyAlignment="1">
      <alignment vertical="center"/>
    </xf>
    <xf numFmtId="164" fontId="98" fillId="0" borderId="0" xfId="1" applyFont="1" applyBorder="1" applyAlignment="1">
      <alignment vertical="center"/>
    </xf>
    <xf numFmtId="0" fontId="150" fillId="0" borderId="0" xfId="0" applyFont="1" applyAlignment="1">
      <alignment horizontal="center"/>
    </xf>
    <xf numFmtId="0" fontId="150" fillId="0" borderId="0" xfId="0" applyFont="1" applyAlignment="1"/>
    <xf numFmtId="0" fontId="152" fillId="0" borderId="0" xfId="29" applyFont="1"/>
    <xf numFmtId="0" fontId="153" fillId="0" borderId="0" xfId="0" applyFont="1" applyAlignment="1">
      <alignment horizontal="center" vertical="top"/>
    </xf>
    <xf numFmtId="0" fontId="153" fillId="0" borderId="0" xfId="0" applyFont="1" applyAlignment="1">
      <alignment vertical="top"/>
    </xf>
    <xf numFmtId="0" fontId="154" fillId="0" borderId="0" xfId="0" applyFont="1" applyAlignment="1">
      <alignment horizontal="center" vertical="center"/>
    </xf>
    <xf numFmtId="0" fontId="153" fillId="0" borderId="0" xfId="0" applyFont="1" applyAlignment="1">
      <alignment vertical="center"/>
    </xf>
    <xf numFmtId="0" fontId="153" fillId="0" borderId="0" xfId="0" applyFont="1" applyBorder="1" applyAlignment="1">
      <alignment horizontal="center"/>
    </xf>
    <xf numFmtId="0" fontId="155" fillId="0" borderId="0" xfId="0" applyFont="1" applyAlignment="1"/>
    <xf numFmtId="0" fontId="156" fillId="0" borderId="0" xfId="29" applyFont="1" applyBorder="1" applyAlignment="1">
      <alignment horizontal="center" vertical="center"/>
    </xf>
    <xf numFmtId="175" fontId="157" fillId="0" borderId="0" xfId="30" applyNumberFormat="1" applyFont="1" applyFill="1" applyBorder="1" applyAlignment="1" applyProtection="1">
      <alignment horizontal="center" vertical="center"/>
    </xf>
    <xf numFmtId="175" fontId="157" fillId="0" borderId="0" xfId="30" quotePrefix="1" applyNumberFormat="1" applyFont="1" applyFill="1" applyBorder="1" applyAlignment="1" applyProtection="1">
      <alignment horizontal="center" vertical="center" wrapText="1"/>
    </xf>
    <xf numFmtId="0" fontId="158" fillId="3" borderId="0" xfId="29" applyFont="1" applyFill="1" applyBorder="1"/>
    <xf numFmtId="43" fontId="158" fillId="3" borderId="0" xfId="30" applyFont="1" applyFill="1" applyBorder="1"/>
    <xf numFmtId="0" fontId="159" fillId="3" borderId="0" xfId="29" applyFont="1" applyFill="1" applyBorder="1"/>
    <xf numFmtId="43" fontId="159" fillId="3" borderId="0" xfId="31" applyFont="1" applyFill="1" applyBorder="1"/>
    <xf numFmtId="0" fontId="160" fillId="0" borderId="0" xfId="29" applyFont="1"/>
    <xf numFmtId="0" fontId="161" fillId="0" borderId="38" xfId="29" applyFont="1" applyBorder="1"/>
    <xf numFmtId="0" fontId="161" fillId="0" borderId="0" xfId="29" applyFont="1" applyBorder="1"/>
    <xf numFmtId="43" fontId="162" fillId="0" borderId="0" xfId="31" applyFont="1" applyBorder="1"/>
    <xf numFmtId="0" fontId="162" fillId="0" borderId="0" xfId="29" applyFont="1"/>
    <xf numFmtId="0" fontId="157" fillId="0" borderId="0" xfId="29" applyFont="1" applyBorder="1"/>
    <xf numFmtId="43" fontId="163" fillId="0" borderId="0" xfId="31" applyFont="1" applyFill="1" applyBorder="1"/>
    <xf numFmtId="0" fontId="164" fillId="0" borderId="0" xfId="29" applyFont="1" applyBorder="1"/>
    <xf numFmtId="0" fontId="165" fillId="0" borderId="0" xfId="29" applyFont="1" applyBorder="1"/>
    <xf numFmtId="43" fontId="162" fillId="0" borderId="0" xfId="31" applyFont="1" applyFill="1" applyBorder="1"/>
    <xf numFmtId="43" fontId="162" fillId="0" borderId="17" xfId="31" applyFont="1" applyFill="1" applyBorder="1"/>
    <xf numFmtId="43" fontId="162" fillId="0" borderId="17" xfId="31" applyFont="1" applyBorder="1"/>
    <xf numFmtId="43" fontId="163" fillId="0" borderId="0" xfId="31" applyFont="1" applyBorder="1"/>
    <xf numFmtId="43" fontId="166" fillId="0" borderId="0" xfId="31" applyFont="1" applyBorder="1"/>
    <xf numFmtId="0" fontId="167" fillId="0" borderId="0" xfId="29" applyFont="1" applyBorder="1"/>
    <xf numFmtId="0" fontId="158" fillId="3" borderId="38" xfId="29" applyFont="1" applyFill="1" applyBorder="1"/>
    <xf numFmtId="43" fontId="162" fillId="0" borderId="0" xfId="29" applyNumberFormat="1" applyFont="1" applyBorder="1"/>
    <xf numFmtId="43" fontId="168" fillId="3" borderId="0" xfId="31" applyFont="1" applyFill="1" applyBorder="1"/>
    <xf numFmtId="0" fontId="169" fillId="0" borderId="0" xfId="29" applyFont="1"/>
    <xf numFmtId="43" fontId="162" fillId="0" borderId="30" xfId="31" applyFont="1" applyBorder="1"/>
    <xf numFmtId="43" fontId="162" fillId="0" borderId="0" xfId="31" applyFont="1"/>
    <xf numFmtId="0" fontId="161" fillId="0" borderId="39" xfId="29" applyFont="1" applyBorder="1"/>
    <xf numFmtId="0" fontId="161" fillId="0" borderId="18" xfId="29" applyFont="1" applyBorder="1"/>
    <xf numFmtId="43" fontId="162" fillId="0" borderId="18" xfId="31" applyFont="1" applyBorder="1"/>
    <xf numFmtId="0" fontId="170" fillId="0" borderId="0" xfId="29" applyFont="1" applyBorder="1" applyAlignment="1">
      <alignment horizontal="left" vertical="center"/>
    </xf>
    <xf numFmtId="43" fontId="157" fillId="0" borderId="0" xfId="31" applyFont="1" applyBorder="1" applyAlignment="1">
      <alignment horizontal="center"/>
    </xf>
    <xf numFmtId="0" fontId="170" fillId="0" borderId="18" xfId="29" applyFont="1" applyBorder="1" applyAlignment="1">
      <alignment horizontal="left" vertical="center"/>
    </xf>
    <xf numFmtId="175" fontId="171" fillId="0" borderId="18" xfId="30" quotePrefix="1" applyNumberFormat="1" applyFont="1" applyFill="1" applyBorder="1" applyAlignment="1" applyProtection="1">
      <alignment horizontal="center" vertical="center" wrapText="1"/>
    </xf>
    <xf numFmtId="43" fontId="162" fillId="0" borderId="0" xfId="29" applyNumberFormat="1" applyFont="1"/>
    <xf numFmtId="43" fontId="163" fillId="0" borderId="30" xfId="31" applyFont="1" applyBorder="1"/>
    <xf numFmtId="0" fontId="161" fillId="0" borderId="40" xfId="29" applyFont="1" applyBorder="1"/>
    <xf numFmtId="0" fontId="161" fillId="0" borderId="17" xfId="29" applyFont="1" applyBorder="1"/>
    <xf numFmtId="0" fontId="172" fillId="0" borderId="0" xfId="29" applyFont="1"/>
    <xf numFmtId="43" fontId="152" fillId="0" borderId="0" xfId="31" applyFont="1"/>
    <xf numFmtId="0" fontId="156" fillId="0" borderId="41" xfId="29" applyFont="1" applyBorder="1" applyAlignment="1">
      <alignment horizontal="center" vertical="center"/>
    </xf>
    <xf numFmtId="0" fontId="156" fillId="0" borderId="12" xfId="29" applyFont="1" applyBorder="1" applyAlignment="1">
      <alignment horizontal="center" vertical="center"/>
    </xf>
    <xf numFmtId="175" fontId="157" fillId="0" borderId="42" xfId="30" applyNumberFormat="1" applyFont="1" applyFill="1" applyBorder="1" applyAlignment="1" applyProtection="1">
      <alignment horizontal="center" vertical="center"/>
    </xf>
    <xf numFmtId="0" fontId="156" fillId="0" borderId="40" xfId="29" applyFont="1" applyBorder="1" applyAlignment="1">
      <alignment horizontal="center" vertical="center"/>
    </xf>
    <xf numFmtId="0" fontId="156" fillId="0" borderId="17" xfId="29" applyFont="1" applyBorder="1" applyAlignment="1">
      <alignment horizontal="center" vertical="center"/>
    </xf>
    <xf numFmtId="175" fontId="157" fillId="0" borderId="33" xfId="30" quotePrefix="1" applyNumberFormat="1" applyFont="1" applyFill="1" applyBorder="1" applyAlignment="1" applyProtection="1">
      <alignment horizontal="center" vertical="center" wrapText="1"/>
    </xf>
    <xf numFmtId="43" fontId="152" fillId="0" borderId="18" xfId="31" applyFont="1" applyBorder="1"/>
    <xf numFmtId="43" fontId="152" fillId="7" borderId="0" xfId="31" applyFont="1" applyFill="1"/>
  </cellXfs>
  <cellStyles count="32">
    <cellStyle name="Comma" xfId="1" builtinId="3"/>
    <cellStyle name="Comma 10" xfId="6"/>
    <cellStyle name="Comma 11" xfId="7"/>
    <cellStyle name="Comma 12" xfId="8"/>
    <cellStyle name="Comma 13" xfId="9"/>
    <cellStyle name="Comma 14" xfId="10"/>
    <cellStyle name="Comma 15" xfId="30"/>
    <cellStyle name="Comma 2" xfId="5"/>
    <cellStyle name="Comma 2 2" xfId="11"/>
    <cellStyle name="Comma 3" xfId="12"/>
    <cellStyle name="Comma 3 2" xfId="31"/>
    <cellStyle name="Comma 4" xfId="13"/>
    <cellStyle name="Comma 5" xfId="14"/>
    <cellStyle name="Comma 6" xfId="15"/>
    <cellStyle name="Comma 7" xfId="16"/>
    <cellStyle name="Comma 8" xfId="17"/>
    <cellStyle name="Comma 9" xfId="18"/>
    <cellStyle name="Currency 2" xfId="19"/>
    <cellStyle name="Currency 3" xfId="20"/>
    <cellStyle name="Currency 4" xfId="3"/>
    <cellStyle name="Heading 1 2" xfId="21"/>
    <cellStyle name="Heading 1 3" xfId="22"/>
    <cellStyle name="Headings" xfId="23"/>
    <cellStyle name="Normal" xfId="0" builtinId="0"/>
    <cellStyle name="Normal 2" xfId="2"/>
    <cellStyle name="Normal 2 2" xfId="24"/>
    <cellStyle name="Normal 3" xfId="25"/>
    <cellStyle name="Normal 3 2" xfId="29"/>
    <cellStyle name="Normal 4" xfId="26"/>
    <cellStyle name="Percent 2" xfId="4"/>
    <cellStyle name="Title 2" xfId="27"/>
    <cellStyle name="Totals" xfId="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ID%20VERY%20IMPORTANT/ACCOUNT%20FORMAT/FINAL%20PL%202017-18%20(31.03.18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Application%20Data/Microsoft/Excel/Zaloni%20Club/Pramod%20kr%20Prasad/Profit%20&amp;%20Loss%20%202013-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ABID%20VERY%20IMPORTANT/ACCOUNT%20FORMAT/Profit%20&amp;%20Loss%20%202014-1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eet 17-18"/>
      <sheetName val="Profit &amp; loss 17-18"/>
      <sheetName val="P&amp;L with Provision"/>
      <sheetName val="S-12345 "/>
      <sheetName val="S-6789 "/>
      <sheetName val="S-10"/>
      <sheetName val="S-11-18"/>
      <sheetName val="S-19"/>
      <sheetName val="BRS"/>
    </sheetNames>
    <sheetDataSet>
      <sheetData sheetId="0"/>
      <sheetData sheetId="1">
        <row r="29">
          <cell r="I29">
            <v>1965508</v>
          </cell>
        </row>
        <row r="111">
          <cell r="L111">
            <v>-7878</v>
          </cell>
        </row>
      </sheetData>
      <sheetData sheetId="2" refreshError="1"/>
      <sheetData sheetId="3">
        <row r="14">
          <cell r="E14">
            <v>99735</v>
          </cell>
        </row>
        <row r="23">
          <cell r="E23">
            <v>316887</v>
          </cell>
        </row>
        <row r="32">
          <cell r="E32">
            <v>200000</v>
          </cell>
        </row>
        <row r="41">
          <cell r="E41">
            <v>8250155</v>
          </cell>
        </row>
        <row r="50">
          <cell r="E50">
            <v>647057</v>
          </cell>
        </row>
      </sheetData>
      <sheetData sheetId="4">
        <row r="45">
          <cell r="C45">
            <v>1194722</v>
          </cell>
        </row>
        <row r="64">
          <cell r="C64">
            <v>326741</v>
          </cell>
        </row>
        <row r="76">
          <cell r="C76">
            <v>3478520</v>
          </cell>
        </row>
        <row r="103">
          <cell r="C103">
            <v>3336975</v>
          </cell>
        </row>
        <row r="117">
          <cell r="C117">
            <v>5019479</v>
          </cell>
        </row>
      </sheetData>
      <sheetData sheetId="5">
        <row r="113">
          <cell r="C113">
            <v>6358940</v>
          </cell>
          <cell r="D113">
            <v>4490018</v>
          </cell>
          <cell r="E113">
            <v>0</v>
          </cell>
          <cell r="H113">
            <v>1809158</v>
          </cell>
        </row>
      </sheetData>
      <sheetData sheetId="6">
        <row r="13">
          <cell r="C13">
            <v>1736438</v>
          </cell>
        </row>
        <row r="23">
          <cell r="C23">
            <v>31910</v>
          </cell>
        </row>
        <row r="47">
          <cell r="C47">
            <v>138671</v>
          </cell>
        </row>
        <row r="61">
          <cell r="C61">
            <v>642132</v>
          </cell>
        </row>
        <row r="69">
          <cell r="C69">
            <v>17486999</v>
          </cell>
        </row>
        <row r="79">
          <cell r="C79">
            <v>6546423</v>
          </cell>
        </row>
        <row r="89">
          <cell r="C89">
            <v>180000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Sheet2"/>
      <sheetName val="LINK"/>
      <sheetName val="Sheet1"/>
      <sheetName val="PROFIL &amp; LOSS HY 2011"/>
      <sheetName val="BALANCE SHEET "/>
      <sheetName val="S-1 2  3 "/>
      <sheetName val="S-4  5  6 "/>
      <sheetName val="S-7"/>
      <sheetName val="S-8  9   10"/>
      <sheetName val="S-11"/>
      <sheetName val="S-12  13"/>
      <sheetName val="BRS"/>
    </sheetNames>
    <sheetDataSet>
      <sheetData sheetId="0"/>
      <sheetData sheetId="1"/>
      <sheetData sheetId="2"/>
      <sheetData sheetId="3"/>
      <sheetData sheetId="4">
        <row r="10">
          <cell r="N10">
            <v>23700186</v>
          </cell>
        </row>
      </sheetData>
      <sheetData sheetId="5">
        <row r="12">
          <cell r="I12">
            <v>14309269</v>
          </cell>
        </row>
      </sheetData>
      <sheetData sheetId="6"/>
      <sheetData sheetId="7"/>
      <sheetData sheetId="8">
        <row r="75">
          <cell r="G75">
            <v>712359</v>
          </cell>
        </row>
      </sheetData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Sheet2"/>
      <sheetName val="LINK"/>
      <sheetName val="Sheet1"/>
      <sheetName val="PROFIL &amp; LOSS HY 2011"/>
      <sheetName val="BALANCE SHEET "/>
      <sheetName val="S-1 2  3 "/>
      <sheetName val="S-4  5  6 "/>
      <sheetName val="S-7"/>
      <sheetName val="S-8  9   10"/>
      <sheetName val="S-11"/>
      <sheetName val="S-12  13"/>
      <sheetName val="B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8">
          <cell r="C58">
            <v>20298473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I92"/>
  <sheetViews>
    <sheetView tabSelected="1" zoomScaleNormal="100" workbookViewId="0">
      <selection activeCell="B21" sqref="B21"/>
    </sheetView>
  </sheetViews>
  <sheetFormatPr defaultRowHeight="18"/>
  <cols>
    <col min="1" max="1" width="3.7109375" style="887" customWidth="1"/>
    <col min="2" max="2" width="64.5703125" style="887" bestFit="1" customWidth="1"/>
    <col min="3" max="4" width="20.7109375" style="934" customWidth="1"/>
    <col min="5" max="5" width="18.5703125" style="887" customWidth="1"/>
    <col min="6" max="255" width="9.140625" style="887"/>
    <col min="256" max="256" width="2.7109375" style="887" customWidth="1"/>
    <col min="257" max="257" width="54.42578125" style="887" customWidth="1"/>
    <col min="258" max="258" width="16.85546875" style="887" customWidth="1"/>
    <col min="259" max="259" width="15.7109375" style="887" customWidth="1"/>
    <col min="260" max="260" width="9.140625" style="887"/>
    <col min="261" max="261" width="18.5703125" style="887" customWidth="1"/>
    <col min="262" max="511" width="9.140625" style="887"/>
    <col min="512" max="512" width="2.7109375" style="887" customWidth="1"/>
    <col min="513" max="513" width="54.42578125" style="887" customWidth="1"/>
    <col min="514" max="514" width="16.85546875" style="887" customWidth="1"/>
    <col min="515" max="515" width="15.7109375" style="887" customWidth="1"/>
    <col min="516" max="516" width="9.140625" style="887"/>
    <col min="517" max="517" width="18.5703125" style="887" customWidth="1"/>
    <col min="518" max="767" width="9.140625" style="887"/>
    <col min="768" max="768" width="2.7109375" style="887" customWidth="1"/>
    <col min="769" max="769" width="54.42578125" style="887" customWidth="1"/>
    <col min="770" max="770" width="16.85546875" style="887" customWidth="1"/>
    <col min="771" max="771" width="15.7109375" style="887" customWidth="1"/>
    <col min="772" max="772" width="9.140625" style="887"/>
    <col min="773" max="773" width="18.5703125" style="887" customWidth="1"/>
    <col min="774" max="1023" width="9.140625" style="887"/>
    <col min="1024" max="1024" width="2.7109375" style="887" customWidth="1"/>
    <col min="1025" max="1025" width="54.42578125" style="887" customWidth="1"/>
    <col min="1026" max="1026" width="16.85546875" style="887" customWidth="1"/>
    <col min="1027" max="1027" width="15.7109375" style="887" customWidth="1"/>
    <col min="1028" max="1028" width="9.140625" style="887"/>
    <col min="1029" max="1029" width="18.5703125" style="887" customWidth="1"/>
    <col min="1030" max="1279" width="9.140625" style="887"/>
    <col min="1280" max="1280" width="2.7109375" style="887" customWidth="1"/>
    <col min="1281" max="1281" width="54.42578125" style="887" customWidth="1"/>
    <col min="1282" max="1282" width="16.85546875" style="887" customWidth="1"/>
    <col min="1283" max="1283" width="15.7109375" style="887" customWidth="1"/>
    <col min="1284" max="1284" width="9.140625" style="887"/>
    <col min="1285" max="1285" width="18.5703125" style="887" customWidth="1"/>
    <col min="1286" max="1535" width="9.140625" style="887"/>
    <col min="1536" max="1536" width="2.7109375" style="887" customWidth="1"/>
    <col min="1537" max="1537" width="54.42578125" style="887" customWidth="1"/>
    <col min="1538" max="1538" width="16.85546875" style="887" customWidth="1"/>
    <col min="1539" max="1539" width="15.7109375" style="887" customWidth="1"/>
    <col min="1540" max="1540" width="9.140625" style="887"/>
    <col min="1541" max="1541" width="18.5703125" style="887" customWidth="1"/>
    <col min="1542" max="1791" width="9.140625" style="887"/>
    <col min="1792" max="1792" width="2.7109375" style="887" customWidth="1"/>
    <col min="1793" max="1793" width="54.42578125" style="887" customWidth="1"/>
    <col min="1794" max="1794" width="16.85546875" style="887" customWidth="1"/>
    <col min="1795" max="1795" width="15.7109375" style="887" customWidth="1"/>
    <col min="1796" max="1796" width="9.140625" style="887"/>
    <col min="1797" max="1797" width="18.5703125" style="887" customWidth="1"/>
    <col min="1798" max="2047" width="9.140625" style="887"/>
    <col min="2048" max="2048" width="2.7109375" style="887" customWidth="1"/>
    <col min="2049" max="2049" width="54.42578125" style="887" customWidth="1"/>
    <col min="2050" max="2050" width="16.85546875" style="887" customWidth="1"/>
    <col min="2051" max="2051" width="15.7109375" style="887" customWidth="1"/>
    <col min="2052" max="2052" width="9.140625" style="887"/>
    <col min="2053" max="2053" width="18.5703125" style="887" customWidth="1"/>
    <col min="2054" max="2303" width="9.140625" style="887"/>
    <col min="2304" max="2304" width="2.7109375" style="887" customWidth="1"/>
    <col min="2305" max="2305" width="54.42578125" style="887" customWidth="1"/>
    <col min="2306" max="2306" width="16.85546875" style="887" customWidth="1"/>
    <col min="2307" max="2307" width="15.7109375" style="887" customWidth="1"/>
    <col min="2308" max="2308" width="9.140625" style="887"/>
    <col min="2309" max="2309" width="18.5703125" style="887" customWidth="1"/>
    <col min="2310" max="2559" width="9.140625" style="887"/>
    <col min="2560" max="2560" width="2.7109375" style="887" customWidth="1"/>
    <col min="2561" max="2561" width="54.42578125" style="887" customWidth="1"/>
    <col min="2562" max="2562" width="16.85546875" style="887" customWidth="1"/>
    <col min="2563" max="2563" width="15.7109375" style="887" customWidth="1"/>
    <col min="2564" max="2564" width="9.140625" style="887"/>
    <col min="2565" max="2565" width="18.5703125" style="887" customWidth="1"/>
    <col min="2566" max="2815" width="9.140625" style="887"/>
    <col min="2816" max="2816" width="2.7109375" style="887" customWidth="1"/>
    <col min="2817" max="2817" width="54.42578125" style="887" customWidth="1"/>
    <col min="2818" max="2818" width="16.85546875" style="887" customWidth="1"/>
    <col min="2819" max="2819" width="15.7109375" style="887" customWidth="1"/>
    <col min="2820" max="2820" width="9.140625" style="887"/>
    <col min="2821" max="2821" width="18.5703125" style="887" customWidth="1"/>
    <col min="2822" max="3071" width="9.140625" style="887"/>
    <col min="3072" max="3072" width="2.7109375" style="887" customWidth="1"/>
    <col min="3073" max="3073" width="54.42578125" style="887" customWidth="1"/>
    <col min="3074" max="3074" width="16.85546875" style="887" customWidth="1"/>
    <col min="3075" max="3075" width="15.7109375" style="887" customWidth="1"/>
    <col min="3076" max="3076" width="9.140625" style="887"/>
    <col min="3077" max="3077" width="18.5703125" style="887" customWidth="1"/>
    <col min="3078" max="3327" width="9.140625" style="887"/>
    <col min="3328" max="3328" width="2.7109375" style="887" customWidth="1"/>
    <col min="3329" max="3329" width="54.42578125" style="887" customWidth="1"/>
    <col min="3330" max="3330" width="16.85546875" style="887" customWidth="1"/>
    <col min="3331" max="3331" width="15.7109375" style="887" customWidth="1"/>
    <col min="3332" max="3332" width="9.140625" style="887"/>
    <col min="3333" max="3333" width="18.5703125" style="887" customWidth="1"/>
    <col min="3334" max="3583" width="9.140625" style="887"/>
    <col min="3584" max="3584" width="2.7109375" style="887" customWidth="1"/>
    <col min="3585" max="3585" width="54.42578125" style="887" customWidth="1"/>
    <col min="3586" max="3586" width="16.85546875" style="887" customWidth="1"/>
    <col min="3587" max="3587" width="15.7109375" style="887" customWidth="1"/>
    <col min="3588" max="3588" width="9.140625" style="887"/>
    <col min="3589" max="3589" width="18.5703125" style="887" customWidth="1"/>
    <col min="3590" max="3839" width="9.140625" style="887"/>
    <col min="3840" max="3840" width="2.7109375" style="887" customWidth="1"/>
    <col min="3841" max="3841" width="54.42578125" style="887" customWidth="1"/>
    <col min="3842" max="3842" width="16.85546875" style="887" customWidth="1"/>
    <col min="3843" max="3843" width="15.7109375" style="887" customWidth="1"/>
    <col min="3844" max="3844" width="9.140625" style="887"/>
    <col min="3845" max="3845" width="18.5703125" style="887" customWidth="1"/>
    <col min="3846" max="4095" width="9.140625" style="887"/>
    <col min="4096" max="4096" width="2.7109375" style="887" customWidth="1"/>
    <col min="4097" max="4097" width="54.42578125" style="887" customWidth="1"/>
    <col min="4098" max="4098" width="16.85546875" style="887" customWidth="1"/>
    <col min="4099" max="4099" width="15.7109375" style="887" customWidth="1"/>
    <col min="4100" max="4100" width="9.140625" style="887"/>
    <col min="4101" max="4101" width="18.5703125" style="887" customWidth="1"/>
    <col min="4102" max="4351" width="9.140625" style="887"/>
    <col min="4352" max="4352" width="2.7109375" style="887" customWidth="1"/>
    <col min="4353" max="4353" width="54.42578125" style="887" customWidth="1"/>
    <col min="4354" max="4354" width="16.85546875" style="887" customWidth="1"/>
    <col min="4355" max="4355" width="15.7109375" style="887" customWidth="1"/>
    <col min="4356" max="4356" width="9.140625" style="887"/>
    <col min="4357" max="4357" width="18.5703125" style="887" customWidth="1"/>
    <col min="4358" max="4607" width="9.140625" style="887"/>
    <col min="4608" max="4608" width="2.7109375" style="887" customWidth="1"/>
    <col min="4609" max="4609" width="54.42578125" style="887" customWidth="1"/>
    <col min="4610" max="4610" width="16.85546875" style="887" customWidth="1"/>
    <col min="4611" max="4611" width="15.7109375" style="887" customWidth="1"/>
    <col min="4612" max="4612" width="9.140625" style="887"/>
    <col min="4613" max="4613" width="18.5703125" style="887" customWidth="1"/>
    <col min="4614" max="4863" width="9.140625" style="887"/>
    <col min="4864" max="4864" width="2.7109375" style="887" customWidth="1"/>
    <col min="4865" max="4865" width="54.42578125" style="887" customWidth="1"/>
    <col min="4866" max="4866" width="16.85546875" style="887" customWidth="1"/>
    <col min="4867" max="4867" width="15.7109375" style="887" customWidth="1"/>
    <col min="4868" max="4868" width="9.140625" style="887"/>
    <col min="4869" max="4869" width="18.5703125" style="887" customWidth="1"/>
    <col min="4870" max="5119" width="9.140625" style="887"/>
    <col min="5120" max="5120" width="2.7109375" style="887" customWidth="1"/>
    <col min="5121" max="5121" width="54.42578125" style="887" customWidth="1"/>
    <col min="5122" max="5122" width="16.85546875" style="887" customWidth="1"/>
    <col min="5123" max="5123" width="15.7109375" style="887" customWidth="1"/>
    <col min="5124" max="5124" width="9.140625" style="887"/>
    <col min="5125" max="5125" width="18.5703125" style="887" customWidth="1"/>
    <col min="5126" max="5375" width="9.140625" style="887"/>
    <col min="5376" max="5376" width="2.7109375" style="887" customWidth="1"/>
    <col min="5377" max="5377" width="54.42578125" style="887" customWidth="1"/>
    <col min="5378" max="5378" width="16.85546875" style="887" customWidth="1"/>
    <col min="5379" max="5379" width="15.7109375" style="887" customWidth="1"/>
    <col min="5380" max="5380" width="9.140625" style="887"/>
    <col min="5381" max="5381" width="18.5703125" style="887" customWidth="1"/>
    <col min="5382" max="5631" width="9.140625" style="887"/>
    <col min="5632" max="5632" width="2.7109375" style="887" customWidth="1"/>
    <col min="5633" max="5633" width="54.42578125" style="887" customWidth="1"/>
    <col min="5634" max="5634" width="16.85546875" style="887" customWidth="1"/>
    <col min="5635" max="5635" width="15.7109375" style="887" customWidth="1"/>
    <col min="5636" max="5636" width="9.140625" style="887"/>
    <col min="5637" max="5637" width="18.5703125" style="887" customWidth="1"/>
    <col min="5638" max="5887" width="9.140625" style="887"/>
    <col min="5888" max="5888" width="2.7109375" style="887" customWidth="1"/>
    <col min="5889" max="5889" width="54.42578125" style="887" customWidth="1"/>
    <col min="5890" max="5890" width="16.85546875" style="887" customWidth="1"/>
    <col min="5891" max="5891" width="15.7109375" style="887" customWidth="1"/>
    <col min="5892" max="5892" width="9.140625" style="887"/>
    <col min="5893" max="5893" width="18.5703125" style="887" customWidth="1"/>
    <col min="5894" max="6143" width="9.140625" style="887"/>
    <col min="6144" max="6144" width="2.7109375" style="887" customWidth="1"/>
    <col min="6145" max="6145" width="54.42578125" style="887" customWidth="1"/>
    <col min="6146" max="6146" width="16.85546875" style="887" customWidth="1"/>
    <col min="6147" max="6147" width="15.7109375" style="887" customWidth="1"/>
    <col min="6148" max="6148" width="9.140625" style="887"/>
    <col min="6149" max="6149" width="18.5703125" style="887" customWidth="1"/>
    <col min="6150" max="6399" width="9.140625" style="887"/>
    <col min="6400" max="6400" width="2.7109375" style="887" customWidth="1"/>
    <col min="6401" max="6401" width="54.42578125" style="887" customWidth="1"/>
    <col min="6402" max="6402" width="16.85546875" style="887" customWidth="1"/>
    <col min="6403" max="6403" width="15.7109375" style="887" customWidth="1"/>
    <col min="6404" max="6404" width="9.140625" style="887"/>
    <col min="6405" max="6405" width="18.5703125" style="887" customWidth="1"/>
    <col min="6406" max="6655" width="9.140625" style="887"/>
    <col min="6656" max="6656" width="2.7109375" style="887" customWidth="1"/>
    <col min="6657" max="6657" width="54.42578125" style="887" customWidth="1"/>
    <col min="6658" max="6658" width="16.85546875" style="887" customWidth="1"/>
    <col min="6659" max="6659" width="15.7109375" style="887" customWidth="1"/>
    <col min="6660" max="6660" width="9.140625" style="887"/>
    <col min="6661" max="6661" width="18.5703125" style="887" customWidth="1"/>
    <col min="6662" max="6911" width="9.140625" style="887"/>
    <col min="6912" max="6912" width="2.7109375" style="887" customWidth="1"/>
    <col min="6913" max="6913" width="54.42578125" style="887" customWidth="1"/>
    <col min="6914" max="6914" width="16.85546875" style="887" customWidth="1"/>
    <col min="6915" max="6915" width="15.7109375" style="887" customWidth="1"/>
    <col min="6916" max="6916" width="9.140625" style="887"/>
    <col min="6917" max="6917" width="18.5703125" style="887" customWidth="1"/>
    <col min="6918" max="7167" width="9.140625" style="887"/>
    <col min="7168" max="7168" width="2.7109375" style="887" customWidth="1"/>
    <col min="7169" max="7169" width="54.42578125" style="887" customWidth="1"/>
    <col min="7170" max="7170" width="16.85546875" style="887" customWidth="1"/>
    <col min="7171" max="7171" width="15.7109375" style="887" customWidth="1"/>
    <col min="7172" max="7172" width="9.140625" style="887"/>
    <col min="7173" max="7173" width="18.5703125" style="887" customWidth="1"/>
    <col min="7174" max="7423" width="9.140625" style="887"/>
    <col min="7424" max="7424" width="2.7109375" style="887" customWidth="1"/>
    <col min="7425" max="7425" width="54.42578125" style="887" customWidth="1"/>
    <col min="7426" max="7426" width="16.85546875" style="887" customWidth="1"/>
    <col min="7427" max="7427" width="15.7109375" style="887" customWidth="1"/>
    <col min="7428" max="7428" width="9.140625" style="887"/>
    <col min="7429" max="7429" width="18.5703125" style="887" customWidth="1"/>
    <col min="7430" max="7679" width="9.140625" style="887"/>
    <col min="7680" max="7680" width="2.7109375" style="887" customWidth="1"/>
    <col min="7681" max="7681" width="54.42578125" style="887" customWidth="1"/>
    <col min="7682" max="7682" width="16.85546875" style="887" customWidth="1"/>
    <col min="7683" max="7683" width="15.7109375" style="887" customWidth="1"/>
    <col min="7684" max="7684" width="9.140625" style="887"/>
    <col min="7685" max="7685" width="18.5703125" style="887" customWidth="1"/>
    <col min="7686" max="7935" width="9.140625" style="887"/>
    <col min="7936" max="7936" width="2.7109375" style="887" customWidth="1"/>
    <col min="7937" max="7937" width="54.42578125" style="887" customWidth="1"/>
    <col min="7938" max="7938" width="16.85546875" style="887" customWidth="1"/>
    <col min="7939" max="7939" width="15.7109375" style="887" customWidth="1"/>
    <col min="7940" max="7940" width="9.140625" style="887"/>
    <col min="7941" max="7941" width="18.5703125" style="887" customWidth="1"/>
    <col min="7942" max="8191" width="9.140625" style="887"/>
    <col min="8192" max="8192" width="2.7109375" style="887" customWidth="1"/>
    <col min="8193" max="8193" width="54.42578125" style="887" customWidth="1"/>
    <col min="8194" max="8194" width="16.85546875" style="887" customWidth="1"/>
    <col min="8195" max="8195" width="15.7109375" style="887" customWidth="1"/>
    <col min="8196" max="8196" width="9.140625" style="887"/>
    <col min="8197" max="8197" width="18.5703125" style="887" customWidth="1"/>
    <col min="8198" max="8447" width="9.140625" style="887"/>
    <col min="8448" max="8448" width="2.7109375" style="887" customWidth="1"/>
    <col min="8449" max="8449" width="54.42578125" style="887" customWidth="1"/>
    <col min="8450" max="8450" width="16.85546875" style="887" customWidth="1"/>
    <col min="8451" max="8451" width="15.7109375" style="887" customWidth="1"/>
    <col min="8452" max="8452" width="9.140625" style="887"/>
    <col min="8453" max="8453" width="18.5703125" style="887" customWidth="1"/>
    <col min="8454" max="8703" width="9.140625" style="887"/>
    <col min="8704" max="8704" width="2.7109375" style="887" customWidth="1"/>
    <col min="8705" max="8705" width="54.42578125" style="887" customWidth="1"/>
    <col min="8706" max="8706" width="16.85546875" style="887" customWidth="1"/>
    <col min="8707" max="8707" width="15.7109375" style="887" customWidth="1"/>
    <col min="8708" max="8708" width="9.140625" style="887"/>
    <col min="8709" max="8709" width="18.5703125" style="887" customWidth="1"/>
    <col min="8710" max="8959" width="9.140625" style="887"/>
    <col min="8960" max="8960" width="2.7109375" style="887" customWidth="1"/>
    <col min="8961" max="8961" width="54.42578125" style="887" customWidth="1"/>
    <col min="8962" max="8962" width="16.85546875" style="887" customWidth="1"/>
    <col min="8963" max="8963" width="15.7109375" style="887" customWidth="1"/>
    <col min="8964" max="8964" width="9.140625" style="887"/>
    <col min="8965" max="8965" width="18.5703125" style="887" customWidth="1"/>
    <col min="8966" max="9215" width="9.140625" style="887"/>
    <col min="9216" max="9216" width="2.7109375" style="887" customWidth="1"/>
    <col min="9217" max="9217" width="54.42578125" style="887" customWidth="1"/>
    <col min="9218" max="9218" width="16.85546875" style="887" customWidth="1"/>
    <col min="9219" max="9219" width="15.7109375" style="887" customWidth="1"/>
    <col min="9220" max="9220" width="9.140625" style="887"/>
    <col min="9221" max="9221" width="18.5703125" style="887" customWidth="1"/>
    <col min="9222" max="9471" width="9.140625" style="887"/>
    <col min="9472" max="9472" width="2.7109375" style="887" customWidth="1"/>
    <col min="9473" max="9473" width="54.42578125" style="887" customWidth="1"/>
    <col min="9474" max="9474" width="16.85546875" style="887" customWidth="1"/>
    <col min="9475" max="9475" width="15.7109375" style="887" customWidth="1"/>
    <col min="9476" max="9476" width="9.140625" style="887"/>
    <col min="9477" max="9477" width="18.5703125" style="887" customWidth="1"/>
    <col min="9478" max="9727" width="9.140625" style="887"/>
    <col min="9728" max="9728" width="2.7109375" style="887" customWidth="1"/>
    <col min="9729" max="9729" width="54.42578125" style="887" customWidth="1"/>
    <col min="9730" max="9730" width="16.85546875" style="887" customWidth="1"/>
    <col min="9731" max="9731" width="15.7109375" style="887" customWidth="1"/>
    <col min="9732" max="9732" width="9.140625" style="887"/>
    <col min="9733" max="9733" width="18.5703125" style="887" customWidth="1"/>
    <col min="9734" max="9983" width="9.140625" style="887"/>
    <col min="9984" max="9984" width="2.7109375" style="887" customWidth="1"/>
    <col min="9985" max="9985" width="54.42578125" style="887" customWidth="1"/>
    <col min="9986" max="9986" width="16.85546875" style="887" customWidth="1"/>
    <col min="9987" max="9987" width="15.7109375" style="887" customWidth="1"/>
    <col min="9988" max="9988" width="9.140625" style="887"/>
    <col min="9989" max="9989" width="18.5703125" style="887" customWidth="1"/>
    <col min="9990" max="10239" width="9.140625" style="887"/>
    <col min="10240" max="10240" width="2.7109375" style="887" customWidth="1"/>
    <col min="10241" max="10241" width="54.42578125" style="887" customWidth="1"/>
    <col min="10242" max="10242" width="16.85546875" style="887" customWidth="1"/>
    <col min="10243" max="10243" width="15.7109375" style="887" customWidth="1"/>
    <col min="10244" max="10244" width="9.140625" style="887"/>
    <col min="10245" max="10245" width="18.5703125" style="887" customWidth="1"/>
    <col min="10246" max="10495" width="9.140625" style="887"/>
    <col min="10496" max="10496" width="2.7109375" style="887" customWidth="1"/>
    <col min="10497" max="10497" width="54.42578125" style="887" customWidth="1"/>
    <col min="10498" max="10498" width="16.85546875" style="887" customWidth="1"/>
    <col min="10499" max="10499" width="15.7109375" style="887" customWidth="1"/>
    <col min="10500" max="10500" width="9.140625" style="887"/>
    <col min="10501" max="10501" width="18.5703125" style="887" customWidth="1"/>
    <col min="10502" max="10751" width="9.140625" style="887"/>
    <col min="10752" max="10752" width="2.7109375" style="887" customWidth="1"/>
    <col min="10753" max="10753" width="54.42578125" style="887" customWidth="1"/>
    <col min="10754" max="10754" width="16.85546875" style="887" customWidth="1"/>
    <col min="10755" max="10755" width="15.7109375" style="887" customWidth="1"/>
    <col min="10756" max="10756" width="9.140625" style="887"/>
    <col min="10757" max="10757" width="18.5703125" style="887" customWidth="1"/>
    <col min="10758" max="11007" width="9.140625" style="887"/>
    <col min="11008" max="11008" width="2.7109375" style="887" customWidth="1"/>
    <col min="11009" max="11009" width="54.42578125" style="887" customWidth="1"/>
    <col min="11010" max="11010" width="16.85546875" style="887" customWidth="1"/>
    <col min="11011" max="11011" width="15.7109375" style="887" customWidth="1"/>
    <col min="11012" max="11012" width="9.140625" style="887"/>
    <col min="11013" max="11013" width="18.5703125" style="887" customWidth="1"/>
    <col min="11014" max="11263" width="9.140625" style="887"/>
    <col min="11264" max="11264" width="2.7109375" style="887" customWidth="1"/>
    <col min="11265" max="11265" width="54.42578125" style="887" customWidth="1"/>
    <col min="11266" max="11266" width="16.85546875" style="887" customWidth="1"/>
    <col min="11267" max="11267" width="15.7109375" style="887" customWidth="1"/>
    <col min="11268" max="11268" width="9.140625" style="887"/>
    <col min="11269" max="11269" width="18.5703125" style="887" customWidth="1"/>
    <col min="11270" max="11519" width="9.140625" style="887"/>
    <col min="11520" max="11520" width="2.7109375" style="887" customWidth="1"/>
    <col min="11521" max="11521" width="54.42578125" style="887" customWidth="1"/>
    <col min="11522" max="11522" width="16.85546875" style="887" customWidth="1"/>
    <col min="11523" max="11523" width="15.7109375" style="887" customWidth="1"/>
    <col min="11524" max="11524" width="9.140625" style="887"/>
    <col min="11525" max="11525" width="18.5703125" style="887" customWidth="1"/>
    <col min="11526" max="11775" width="9.140625" style="887"/>
    <col min="11776" max="11776" width="2.7109375" style="887" customWidth="1"/>
    <col min="11777" max="11777" width="54.42578125" style="887" customWidth="1"/>
    <col min="11778" max="11778" width="16.85546875" style="887" customWidth="1"/>
    <col min="11779" max="11779" width="15.7109375" style="887" customWidth="1"/>
    <col min="11780" max="11780" width="9.140625" style="887"/>
    <col min="11781" max="11781" width="18.5703125" style="887" customWidth="1"/>
    <col min="11782" max="12031" width="9.140625" style="887"/>
    <col min="12032" max="12032" width="2.7109375" style="887" customWidth="1"/>
    <col min="12033" max="12033" width="54.42578125" style="887" customWidth="1"/>
    <col min="12034" max="12034" width="16.85546875" style="887" customWidth="1"/>
    <col min="12035" max="12035" width="15.7109375" style="887" customWidth="1"/>
    <col min="12036" max="12036" width="9.140625" style="887"/>
    <col min="12037" max="12037" width="18.5703125" style="887" customWidth="1"/>
    <col min="12038" max="12287" width="9.140625" style="887"/>
    <col min="12288" max="12288" width="2.7109375" style="887" customWidth="1"/>
    <col min="12289" max="12289" width="54.42578125" style="887" customWidth="1"/>
    <col min="12290" max="12290" width="16.85546875" style="887" customWidth="1"/>
    <col min="12291" max="12291" width="15.7109375" style="887" customWidth="1"/>
    <col min="12292" max="12292" width="9.140625" style="887"/>
    <col min="12293" max="12293" width="18.5703125" style="887" customWidth="1"/>
    <col min="12294" max="12543" width="9.140625" style="887"/>
    <col min="12544" max="12544" width="2.7109375" style="887" customWidth="1"/>
    <col min="12545" max="12545" width="54.42578125" style="887" customWidth="1"/>
    <col min="12546" max="12546" width="16.85546875" style="887" customWidth="1"/>
    <col min="12547" max="12547" width="15.7109375" style="887" customWidth="1"/>
    <col min="12548" max="12548" width="9.140625" style="887"/>
    <col min="12549" max="12549" width="18.5703125" style="887" customWidth="1"/>
    <col min="12550" max="12799" width="9.140625" style="887"/>
    <col min="12800" max="12800" width="2.7109375" style="887" customWidth="1"/>
    <col min="12801" max="12801" width="54.42578125" style="887" customWidth="1"/>
    <col min="12802" max="12802" width="16.85546875" style="887" customWidth="1"/>
    <col min="12803" max="12803" width="15.7109375" style="887" customWidth="1"/>
    <col min="12804" max="12804" width="9.140625" style="887"/>
    <col min="12805" max="12805" width="18.5703125" style="887" customWidth="1"/>
    <col min="12806" max="13055" width="9.140625" style="887"/>
    <col min="13056" max="13056" width="2.7109375" style="887" customWidth="1"/>
    <col min="13057" max="13057" width="54.42578125" style="887" customWidth="1"/>
    <col min="13058" max="13058" width="16.85546875" style="887" customWidth="1"/>
    <col min="13059" max="13059" width="15.7109375" style="887" customWidth="1"/>
    <col min="13060" max="13060" width="9.140625" style="887"/>
    <col min="13061" max="13061" width="18.5703125" style="887" customWidth="1"/>
    <col min="13062" max="13311" width="9.140625" style="887"/>
    <col min="13312" max="13312" width="2.7109375" style="887" customWidth="1"/>
    <col min="13313" max="13313" width="54.42578125" style="887" customWidth="1"/>
    <col min="13314" max="13314" width="16.85546875" style="887" customWidth="1"/>
    <col min="13315" max="13315" width="15.7109375" style="887" customWidth="1"/>
    <col min="13316" max="13316" width="9.140625" style="887"/>
    <col min="13317" max="13317" width="18.5703125" style="887" customWidth="1"/>
    <col min="13318" max="13567" width="9.140625" style="887"/>
    <col min="13568" max="13568" width="2.7109375" style="887" customWidth="1"/>
    <col min="13569" max="13569" width="54.42578125" style="887" customWidth="1"/>
    <col min="13570" max="13570" width="16.85546875" style="887" customWidth="1"/>
    <col min="13571" max="13571" width="15.7109375" style="887" customWidth="1"/>
    <col min="13572" max="13572" width="9.140625" style="887"/>
    <col min="13573" max="13573" width="18.5703125" style="887" customWidth="1"/>
    <col min="13574" max="13823" width="9.140625" style="887"/>
    <col min="13824" max="13824" width="2.7109375" style="887" customWidth="1"/>
    <col min="13825" max="13825" width="54.42578125" style="887" customWidth="1"/>
    <col min="13826" max="13826" width="16.85546875" style="887" customWidth="1"/>
    <col min="13827" max="13827" width="15.7109375" style="887" customWidth="1"/>
    <col min="13828" max="13828" width="9.140625" style="887"/>
    <col min="13829" max="13829" width="18.5703125" style="887" customWidth="1"/>
    <col min="13830" max="14079" width="9.140625" style="887"/>
    <col min="14080" max="14080" width="2.7109375" style="887" customWidth="1"/>
    <col min="14081" max="14081" width="54.42578125" style="887" customWidth="1"/>
    <col min="14082" max="14082" width="16.85546875" style="887" customWidth="1"/>
    <col min="14083" max="14083" width="15.7109375" style="887" customWidth="1"/>
    <col min="14084" max="14084" width="9.140625" style="887"/>
    <col min="14085" max="14085" width="18.5703125" style="887" customWidth="1"/>
    <col min="14086" max="14335" width="9.140625" style="887"/>
    <col min="14336" max="14336" width="2.7109375" style="887" customWidth="1"/>
    <col min="14337" max="14337" width="54.42578125" style="887" customWidth="1"/>
    <col min="14338" max="14338" width="16.85546875" style="887" customWidth="1"/>
    <col min="14339" max="14339" width="15.7109375" style="887" customWidth="1"/>
    <col min="14340" max="14340" width="9.140625" style="887"/>
    <col min="14341" max="14341" width="18.5703125" style="887" customWidth="1"/>
    <col min="14342" max="14591" width="9.140625" style="887"/>
    <col min="14592" max="14592" width="2.7109375" style="887" customWidth="1"/>
    <col min="14593" max="14593" width="54.42578125" style="887" customWidth="1"/>
    <col min="14594" max="14594" width="16.85546875" style="887" customWidth="1"/>
    <col min="14595" max="14595" width="15.7109375" style="887" customWidth="1"/>
    <col min="14596" max="14596" width="9.140625" style="887"/>
    <col min="14597" max="14597" width="18.5703125" style="887" customWidth="1"/>
    <col min="14598" max="14847" width="9.140625" style="887"/>
    <col min="14848" max="14848" width="2.7109375" style="887" customWidth="1"/>
    <col min="14849" max="14849" width="54.42578125" style="887" customWidth="1"/>
    <col min="14850" max="14850" width="16.85546875" style="887" customWidth="1"/>
    <col min="14851" max="14851" width="15.7109375" style="887" customWidth="1"/>
    <col min="14852" max="14852" width="9.140625" style="887"/>
    <col min="14853" max="14853" width="18.5703125" style="887" customWidth="1"/>
    <col min="14854" max="15103" width="9.140625" style="887"/>
    <col min="15104" max="15104" width="2.7109375" style="887" customWidth="1"/>
    <col min="15105" max="15105" width="54.42578125" style="887" customWidth="1"/>
    <col min="15106" max="15106" width="16.85546875" style="887" customWidth="1"/>
    <col min="15107" max="15107" width="15.7109375" style="887" customWidth="1"/>
    <col min="15108" max="15108" width="9.140625" style="887"/>
    <col min="15109" max="15109" width="18.5703125" style="887" customWidth="1"/>
    <col min="15110" max="15359" width="9.140625" style="887"/>
    <col min="15360" max="15360" width="2.7109375" style="887" customWidth="1"/>
    <col min="15361" max="15361" width="54.42578125" style="887" customWidth="1"/>
    <col min="15362" max="15362" width="16.85546875" style="887" customWidth="1"/>
    <col min="15363" max="15363" width="15.7109375" style="887" customWidth="1"/>
    <col min="15364" max="15364" width="9.140625" style="887"/>
    <col min="15365" max="15365" width="18.5703125" style="887" customWidth="1"/>
    <col min="15366" max="15615" width="9.140625" style="887"/>
    <col min="15616" max="15616" width="2.7109375" style="887" customWidth="1"/>
    <col min="15617" max="15617" width="54.42578125" style="887" customWidth="1"/>
    <col min="15618" max="15618" width="16.85546875" style="887" customWidth="1"/>
    <col min="15619" max="15619" width="15.7109375" style="887" customWidth="1"/>
    <col min="15620" max="15620" width="9.140625" style="887"/>
    <col min="15621" max="15621" width="18.5703125" style="887" customWidth="1"/>
    <col min="15622" max="15871" width="9.140625" style="887"/>
    <col min="15872" max="15872" width="2.7109375" style="887" customWidth="1"/>
    <col min="15873" max="15873" width="54.42578125" style="887" customWidth="1"/>
    <col min="15874" max="15874" width="16.85546875" style="887" customWidth="1"/>
    <col min="15875" max="15875" width="15.7109375" style="887" customWidth="1"/>
    <col min="15876" max="15876" width="9.140625" style="887"/>
    <col min="15877" max="15877" width="18.5703125" style="887" customWidth="1"/>
    <col min="15878" max="16127" width="9.140625" style="887"/>
    <col min="16128" max="16128" width="2.7109375" style="887" customWidth="1"/>
    <col min="16129" max="16129" width="54.42578125" style="887" customWidth="1"/>
    <col min="16130" max="16130" width="16.85546875" style="887" customWidth="1"/>
    <col min="16131" max="16131" width="15.7109375" style="887" customWidth="1"/>
    <col min="16132" max="16132" width="9.140625" style="887"/>
    <col min="16133" max="16133" width="18.5703125" style="887" customWidth="1"/>
    <col min="16134" max="16384" width="9.140625" style="887"/>
  </cols>
  <sheetData>
    <row r="1" spans="1:9" ht="44.25">
      <c r="A1" s="885"/>
      <c r="B1" s="885"/>
      <c r="C1" s="885"/>
      <c r="D1" s="885"/>
      <c r="E1" s="886"/>
      <c r="F1" s="886"/>
      <c r="G1" s="886"/>
      <c r="H1" s="886"/>
      <c r="I1" s="886"/>
    </row>
    <row r="2" spans="1:9">
      <c r="A2" s="888"/>
      <c r="B2" s="888"/>
      <c r="C2" s="888"/>
      <c r="D2" s="888"/>
      <c r="E2" s="889"/>
      <c r="F2" s="889"/>
      <c r="G2" s="889"/>
      <c r="H2" s="889"/>
      <c r="I2" s="889"/>
    </row>
    <row r="3" spans="1:9">
      <c r="A3" s="890" t="s">
        <v>459</v>
      </c>
      <c r="B3" s="890"/>
      <c r="C3" s="890"/>
      <c r="D3" s="890"/>
      <c r="E3" s="891"/>
      <c r="F3" s="891"/>
      <c r="G3" s="891"/>
      <c r="H3" s="891"/>
      <c r="I3" s="891"/>
    </row>
    <row r="4" spans="1:9" ht="23.25">
      <c r="A4" s="892" t="s">
        <v>460</v>
      </c>
      <c r="B4" s="892"/>
      <c r="C4" s="892"/>
      <c r="D4" s="892"/>
      <c r="E4" s="893"/>
      <c r="F4" s="893"/>
      <c r="G4" s="893"/>
      <c r="H4" s="893"/>
      <c r="I4" s="893"/>
    </row>
    <row r="5" spans="1:9">
      <c r="A5" s="894" t="s">
        <v>461</v>
      </c>
      <c r="B5" s="894"/>
      <c r="C5" s="894"/>
      <c r="D5" s="895" t="s">
        <v>462</v>
      </c>
    </row>
    <row r="6" spans="1:9" ht="25.5">
      <c r="A6" s="894"/>
      <c r="B6" s="894"/>
      <c r="C6" s="894"/>
      <c r="D6" s="896" t="s">
        <v>463</v>
      </c>
    </row>
    <row r="7" spans="1:9" s="901" customFormat="1" ht="16.5">
      <c r="A7" s="897" t="s">
        <v>464</v>
      </c>
      <c r="B7" s="898" t="s">
        <v>465</v>
      </c>
      <c r="C7" s="899"/>
      <c r="D7" s="900"/>
    </row>
    <row r="8" spans="1:9" s="905" customFormat="1" ht="15">
      <c r="A8" s="902"/>
      <c r="B8" s="903"/>
      <c r="C8" s="904"/>
      <c r="D8" s="904"/>
    </row>
    <row r="9" spans="1:9" s="905" customFormat="1" ht="18" customHeight="1">
      <c r="A9" s="902"/>
      <c r="B9" s="906" t="s">
        <v>466</v>
      </c>
      <c r="C9" s="904"/>
      <c r="D9" s="907">
        <v>-7878</v>
      </c>
    </row>
    <row r="10" spans="1:9" s="905" customFormat="1" ht="18" customHeight="1">
      <c r="A10" s="902"/>
      <c r="B10" s="908" t="s">
        <v>467</v>
      </c>
      <c r="C10" s="904"/>
      <c r="D10" s="904"/>
    </row>
    <row r="11" spans="1:9" s="905" customFormat="1" ht="18" customHeight="1">
      <c r="A11" s="902"/>
      <c r="B11" s="909" t="s">
        <v>468</v>
      </c>
      <c r="C11" s="904"/>
      <c r="D11" s="904"/>
    </row>
    <row r="12" spans="1:9" s="905" customFormat="1" ht="18" customHeight="1">
      <c r="A12" s="902"/>
      <c r="B12" s="903" t="s">
        <v>469</v>
      </c>
      <c r="C12" s="910"/>
      <c r="D12" s="904"/>
    </row>
    <row r="13" spans="1:9" s="905" customFormat="1" ht="18" customHeight="1">
      <c r="A13" s="902"/>
      <c r="B13" s="903" t="s">
        <v>470</v>
      </c>
      <c r="C13" s="910"/>
      <c r="D13" s="904"/>
    </row>
    <row r="14" spans="1:9" s="905" customFormat="1" ht="18" customHeight="1">
      <c r="A14" s="902"/>
      <c r="B14" s="905" t="s">
        <v>471</v>
      </c>
      <c r="C14" s="910"/>
      <c r="D14" s="904"/>
    </row>
    <row r="15" spans="1:9" s="905" customFormat="1" ht="18" customHeight="1">
      <c r="A15" s="902"/>
      <c r="B15" s="903" t="s">
        <v>472</v>
      </c>
      <c r="C15" s="910">
        <v>0</v>
      </c>
      <c r="D15" s="904"/>
    </row>
    <row r="16" spans="1:9" s="905" customFormat="1" ht="18" customHeight="1">
      <c r="A16" s="902"/>
      <c r="B16" s="903" t="s">
        <v>473</v>
      </c>
      <c r="C16" s="910"/>
      <c r="D16" s="904"/>
    </row>
    <row r="17" spans="1:4" s="905" customFormat="1" ht="18" customHeight="1">
      <c r="A17" s="902"/>
      <c r="B17" s="903" t="s">
        <v>474</v>
      </c>
      <c r="C17" s="910"/>
      <c r="D17" s="904"/>
    </row>
    <row r="18" spans="1:4" s="905" customFormat="1" ht="18" customHeight="1">
      <c r="A18" s="902"/>
      <c r="B18" s="903" t="s">
        <v>475</v>
      </c>
      <c r="C18" s="910"/>
      <c r="D18" s="904"/>
    </row>
    <row r="19" spans="1:4" s="905" customFormat="1" ht="18" customHeight="1">
      <c r="A19" s="902"/>
      <c r="B19" s="903" t="s">
        <v>476</v>
      </c>
      <c r="C19" s="910"/>
      <c r="D19" s="904"/>
    </row>
    <row r="20" spans="1:4" s="905" customFormat="1" ht="18" customHeight="1">
      <c r="A20" s="902"/>
      <c r="B20" s="903" t="s">
        <v>477</v>
      </c>
      <c r="C20" s="911"/>
      <c r="D20" s="912">
        <f>SUM(C12:C20)</f>
        <v>0</v>
      </c>
    </row>
    <row r="21" spans="1:4" s="905" customFormat="1" ht="18" customHeight="1">
      <c r="A21" s="902"/>
      <c r="B21" s="906" t="s">
        <v>478</v>
      </c>
      <c r="C21" s="910"/>
      <c r="D21" s="913">
        <f>+D20+D9</f>
        <v>-7878</v>
      </c>
    </row>
    <row r="22" spans="1:4" s="905" customFormat="1" ht="18" customHeight="1">
      <c r="A22" s="902"/>
      <c r="B22" s="908" t="s">
        <v>467</v>
      </c>
      <c r="C22" s="910"/>
      <c r="D22" s="904"/>
    </row>
    <row r="23" spans="1:4" s="905" customFormat="1" ht="18" customHeight="1">
      <c r="A23" s="902"/>
      <c r="B23" s="903" t="s">
        <v>479</v>
      </c>
      <c r="C23" s="910"/>
      <c r="D23" s="904"/>
    </row>
    <row r="24" spans="1:4" s="905" customFormat="1" ht="18" customHeight="1">
      <c r="A24" s="902"/>
      <c r="B24" s="903" t="s">
        <v>480</v>
      </c>
      <c r="C24" s="910"/>
      <c r="D24" s="904"/>
    </row>
    <row r="25" spans="1:4" s="905" customFormat="1" ht="18" customHeight="1">
      <c r="A25" s="902"/>
      <c r="B25" s="903" t="s">
        <v>481</v>
      </c>
      <c r="C25" s="910"/>
      <c r="D25" s="904"/>
    </row>
    <row r="26" spans="1:4" s="905" customFormat="1" ht="18" customHeight="1">
      <c r="A26" s="902"/>
      <c r="B26" s="903" t="s">
        <v>482</v>
      </c>
      <c r="C26" s="910"/>
      <c r="D26" s="904"/>
    </row>
    <row r="27" spans="1:4" s="905" customFormat="1" ht="18" customHeight="1">
      <c r="A27" s="902"/>
      <c r="B27" s="903" t="s">
        <v>483</v>
      </c>
      <c r="C27" s="911"/>
      <c r="D27" s="912">
        <f>SUM(C23:C27)</f>
        <v>0</v>
      </c>
    </row>
    <row r="28" spans="1:4" s="905" customFormat="1" ht="18" customHeight="1">
      <c r="A28" s="902"/>
      <c r="B28" s="906" t="s">
        <v>484</v>
      </c>
      <c r="C28" s="910"/>
      <c r="D28" s="913">
        <f>+D21+D27</f>
        <v>-7878</v>
      </c>
    </row>
    <row r="29" spans="1:4" s="905" customFormat="1" ht="18" customHeight="1">
      <c r="A29" s="902"/>
      <c r="B29" s="903" t="s">
        <v>485</v>
      </c>
      <c r="C29" s="904"/>
      <c r="D29" s="914">
        <v>0</v>
      </c>
    </row>
    <row r="30" spans="1:4" s="905" customFormat="1" ht="18" customHeight="1">
      <c r="A30" s="902"/>
      <c r="B30" s="915" t="s">
        <v>486</v>
      </c>
      <c r="C30" s="904"/>
      <c r="D30" s="913">
        <f>+D28+D29</f>
        <v>-7878</v>
      </c>
    </row>
    <row r="31" spans="1:4" s="905" customFormat="1" ht="18" customHeight="1">
      <c r="A31" s="902"/>
      <c r="B31" s="903"/>
      <c r="C31" s="904"/>
      <c r="D31" s="904"/>
    </row>
    <row r="32" spans="1:4" s="901" customFormat="1" ht="18" customHeight="1">
      <c r="A32" s="916" t="s">
        <v>487</v>
      </c>
      <c r="B32" s="898" t="s">
        <v>488</v>
      </c>
      <c r="C32" s="900"/>
      <c r="D32" s="900"/>
    </row>
    <row r="33" spans="1:5" s="905" customFormat="1" ht="18" customHeight="1">
      <c r="A33" s="902"/>
      <c r="B33" s="903" t="s">
        <v>489</v>
      </c>
      <c r="C33" s="904"/>
      <c r="D33" s="904"/>
    </row>
    <row r="34" spans="1:5" s="905" customFormat="1" ht="18" customHeight="1">
      <c r="A34" s="902"/>
      <c r="B34" s="903" t="s">
        <v>490</v>
      </c>
      <c r="C34" s="904"/>
      <c r="D34" s="904"/>
    </row>
    <row r="35" spans="1:5" s="905" customFormat="1" ht="18" customHeight="1">
      <c r="A35" s="902"/>
      <c r="B35" s="903" t="s">
        <v>491</v>
      </c>
      <c r="C35" s="904"/>
      <c r="D35" s="904"/>
    </row>
    <row r="36" spans="1:5" s="905" customFormat="1" ht="18" customHeight="1">
      <c r="A36" s="902"/>
      <c r="B36" s="903"/>
      <c r="C36" s="917">
        <v>0</v>
      </c>
      <c r="D36" s="904"/>
    </row>
    <row r="37" spans="1:5" s="905" customFormat="1" ht="18" customHeight="1">
      <c r="A37" s="902"/>
      <c r="B37" s="903"/>
      <c r="C37" s="912">
        <v>0</v>
      </c>
      <c r="D37" s="904"/>
    </row>
    <row r="38" spans="1:5" s="905" customFormat="1" ht="18" customHeight="1">
      <c r="A38" s="902"/>
      <c r="B38" s="915" t="s">
        <v>492</v>
      </c>
      <c r="C38" s="904"/>
      <c r="D38" s="913">
        <f>SUM(C33:C37)</f>
        <v>0</v>
      </c>
    </row>
    <row r="39" spans="1:5" s="905" customFormat="1" ht="18" customHeight="1">
      <c r="A39" s="902"/>
      <c r="B39" s="903"/>
      <c r="C39" s="904"/>
      <c r="D39" s="904"/>
    </row>
    <row r="40" spans="1:5" s="919" customFormat="1" ht="18" customHeight="1">
      <c r="A40" s="916" t="s">
        <v>493</v>
      </c>
      <c r="B40" s="898" t="s">
        <v>494</v>
      </c>
      <c r="C40" s="918"/>
      <c r="D40" s="918"/>
    </row>
    <row r="41" spans="1:5" s="905" customFormat="1" ht="18" customHeight="1">
      <c r="A41" s="902"/>
      <c r="B41" s="903" t="s">
        <v>495</v>
      </c>
      <c r="C41" s="904"/>
      <c r="D41" s="904"/>
    </row>
    <row r="42" spans="1:5" s="905" customFormat="1" ht="18" customHeight="1">
      <c r="A42" s="902"/>
      <c r="B42" s="903" t="s">
        <v>496</v>
      </c>
      <c r="C42" s="912">
        <f>-C16</f>
        <v>0</v>
      </c>
      <c r="D42" s="904"/>
    </row>
    <row r="43" spans="1:5" s="905" customFormat="1" ht="18" customHeight="1">
      <c r="A43" s="902"/>
      <c r="B43" s="915" t="s">
        <v>497</v>
      </c>
      <c r="C43" s="904"/>
      <c r="D43" s="913">
        <f>SUM(C41:C42)</f>
        <v>0</v>
      </c>
    </row>
    <row r="44" spans="1:5" s="905" customFormat="1" ht="18" customHeight="1" thickBot="1">
      <c r="A44" s="903"/>
      <c r="B44" s="906" t="s">
        <v>498</v>
      </c>
      <c r="C44" s="904"/>
      <c r="D44" s="920">
        <f>+D43+D38+D30</f>
        <v>-7878</v>
      </c>
    </row>
    <row r="45" spans="1:5" s="905" customFormat="1" ht="18" customHeight="1" thickTop="1">
      <c r="A45" s="903"/>
      <c r="B45" s="903" t="s">
        <v>499</v>
      </c>
      <c r="C45" s="904"/>
      <c r="D45" s="904">
        <v>2519028</v>
      </c>
    </row>
    <row r="46" spans="1:5" s="905" customFormat="1" ht="18" customHeight="1" thickBot="1">
      <c r="A46" s="903"/>
      <c r="B46" s="903" t="s">
        <v>500</v>
      </c>
      <c r="C46" s="904"/>
      <c r="D46" s="920">
        <f>+D44+D45</f>
        <v>2511150</v>
      </c>
      <c r="E46" s="921"/>
    </row>
    <row r="47" spans="1:5" s="905" customFormat="1" ht="16.5" thickTop="1" thickBot="1">
      <c r="A47" s="922"/>
      <c r="B47" s="923"/>
      <c r="C47" s="924"/>
      <c r="D47" s="924"/>
      <c r="E47" s="921"/>
    </row>
    <row r="48" spans="1:5" s="905" customFormat="1" ht="15">
      <c r="A48" s="902"/>
      <c r="B48" s="925" t="s">
        <v>501</v>
      </c>
      <c r="C48" s="926" t="s">
        <v>502</v>
      </c>
      <c r="D48" s="926"/>
    </row>
    <row r="49" spans="1:5" s="905" customFormat="1" ht="21.75" thickBot="1">
      <c r="A49" s="922"/>
      <c r="B49" s="927"/>
      <c r="C49" s="928" t="s">
        <v>463</v>
      </c>
      <c r="D49" s="928" t="s">
        <v>503</v>
      </c>
    </row>
    <row r="50" spans="1:5" s="905" customFormat="1" ht="15">
      <c r="A50" s="902"/>
      <c r="B50" s="903"/>
      <c r="C50" s="904"/>
      <c r="D50" s="904"/>
    </row>
    <row r="51" spans="1:5" s="905" customFormat="1" ht="15">
      <c r="A51" s="902"/>
      <c r="B51" s="903" t="s">
        <v>504</v>
      </c>
      <c r="C51" s="904"/>
      <c r="D51" s="904"/>
    </row>
    <row r="52" spans="1:5" s="905" customFormat="1" ht="15">
      <c r="A52" s="902"/>
      <c r="B52" s="903" t="s">
        <v>505</v>
      </c>
      <c r="C52" s="904">
        <v>2440178</v>
      </c>
      <c r="D52" s="904"/>
      <c r="E52" s="929"/>
    </row>
    <row r="53" spans="1:5" s="905" customFormat="1" ht="15.75" thickBot="1">
      <c r="A53" s="902"/>
      <c r="B53" s="906" t="s">
        <v>506</v>
      </c>
      <c r="C53" s="930">
        <f>SUM(C51:C52)</f>
        <v>2440178</v>
      </c>
      <c r="D53" s="930">
        <f>SUM(D51:D52)</f>
        <v>0</v>
      </c>
    </row>
    <row r="54" spans="1:5" s="905" customFormat="1" ht="15.75" thickTop="1">
      <c r="A54" s="931"/>
      <c r="B54" s="932"/>
      <c r="C54" s="912"/>
      <c r="D54" s="912"/>
    </row>
    <row r="55" spans="1:5">
      <c r="A55" s="933"/>
      <c r="B55" s="933"/>
    </row>
    <row r="56" spans="1:5">
      <c r="A56" s="933"/>
      <c r="B56" s="933"/>
    </row>
    <row r="57" spans="1:5" ht="44.25">
      <c r="A57" s="885"/>
      <c r="B57" s="885"/>
      <c r="C57" s="885"/>
      <c r="D57" s="885"/>
    </row>
    <row r="58" spans="1:5">
      <c r="A58" s="888"/>
      <c r="B58" s="888"/>
      <c r="C58" s="888"/>
      <c r="D58" s="888"/>
    </row>
    <row r="59" spans="1:5">
      <c r="A59" s="890" t="s">
        <v>459</v>
      </c>
      <c r="B59" s="890"/>
      <c r="C59" s="890"/>
      <c r="D59" s="890"/>
    </row>
    <row r="60" spans="1:5" ht="19.5">
      <c r="A60" s="892" t="s">
        <v>460</v>
      </c>
      <c r="B60" s="892"/>
      <c r="C60" s="892"/>
      <c r="D60" s="892"/>
    </row>
    <row r="62" spans="1:5">
      <c r="A62" s="935" t="s">
        <v>507</v>
      </c>
      <c r="B62" s="936"/>
      <c r="C62" s="936"/>
      <c r="D62" s="937" t="s">
        <v>462</v>
      </c>
    </row>
    <row r="63" spans="1:5" ht="25.5">
      <c r="A63" s="938"/>
      <c r="B63" s="939"/>
      <c r="C63" s="939"/>
      <c r="D63" s="940" t="s">
        <v>463</v>
      </c>
    </row>
    <row r="64" spans="1:5">
      <c r="A64" s="916" t="s">
        <v>464</v>
      </c>
      <c r="B64" s="898" t="s">
        <v>465</v>
      </c>
      <c r="C64" s="899"/>
      <c r="D64" s="900"/>
    </row>
    <row r="66" spans="1:4">
      <c r="B66" s="903" t="s">
        <v>508</v>
      </c>
    </row>
    <row r="67" spans="1:4">
      <c r="B67" s="903" t="s">
        <v>509</v>
      </c>
    </row>
    <row r="68" spans="1:4">
      <c r="B68" s="903" t="s">
        <v>510</v>
      </c>
    </row>
    <row r="69" spans="1:4">
      <c r="B69" s="903" t="s">
        <v>511</v>
      </c>
    </row>
    <row r="70" spans="1:4">
      <c r="B70" s="903" t="s">
        <v>512</v>
      </c>
    </row>
    <row r="71" spans="1:4">
      <c r="B71" s="903" t="s">
        <v>513</v>
      </c>
    </row>
    <row r="72" spans="1:4">
      <c r="B72" s="903" t="s">
        <v>514</v>
      </c>
    </row>
    <row r="73" spans="1:4">
      <c r="B73" s="915" t="s">
        <v>515</v>
      </c>
    </row>
    <row r="74" spans="1:4">
      <c r="B74" s="903" t="s">
        <v>474</v>
      </c>
    </row>
    <row r="75" spans="1:4" ht="18.75" thickBot="1">
      <c r="B75" s="903" t="s">
        <v>485</v>
      </c>
      <c r="C75" s="941"/>
    </row>
    <row r="76" spans="1:4">
      <c r="B76" s="915" t="s">
        <v>486</v>
      </c>
      <c r="D76" s="934">
        <f>SUM(C66:C75)</f>
        <v>0</v>
      </c>
    </row>
    <row r="78" spans="1:4">
      <c r="A78" s="916" t="s">
        <v>487</v>
      </c>
      <c r="B78" s="898" t="s">
        <v>488</v>
      </c>
      <c r="C78" s="900"/>
      <c r="D78" s="900"/>
    </row>
    <row r="80" spans="1:4">
      <c r="B80" s="903" t="s">
        <v>489</v>
      </c>
    </row>
    <row r="81" spans="1:5">
      <c r="B81" s="903" t="s">
        <v>490</v>
      </c>
    </row>
    <row r="82" spans="1:5" ht="18.75" thickBot="1">
      <c r="B82" s="903" t="s">
        <v>475</v>
      </c>
      <c r="C82" s="941"/>
    </row>
    <row r="83" spans="1:5">
      <c r="B83" s="915" t="s">
        <v>516</v>
      </c>
      <c r="D83" s="934">
        <f>SUM(C80:C82)</f>
        <v>0</v>
      </c>
    </row>
    <row r="85" spans="1:5">
      <c r="A85" s="916" t="s">
        <v>493</v>
      </c>
      <c r="B85" s="898" t="s">
        <v>494</v>
      </c>
      <c r="C85" s="918"/>
      <c r="D85" s="918"/>
    </row>
    <row r="86" spans="1:5">
      <c r="A86" s="902"/>
      <c r="B86" s="903" t="s">
        <v>495</v>
      </c>
      <c r="C86" s="904">
        <v>0</v>
      </c>
      <c r="D86" s="904"/>
    </row>
    <row r="87" spans="1:5">
      <c r="A87" s="902"/>
      <c r="B87" s="903" t="s">
        <v>496</v>
      </c>
      <c r="C87" s="912">
        <f>-C66</f>
        <v>0</v>
      </c>
      <c r="D87" s="904"/>
    </row>
    <row r="88" spans="1:5">
      <c r="A88" s="902"/>
      <c r="B88" s="915" t="s">
        <v>497</v>
      </c>
      <c r="C88" s="904"/>
      <c r="D88" s="913">
        <f>SUM(C86:C87)</f>
        <v>0</v>
      </c>
    </row>
    <row r="89" spans="1:5" ht="18.75" thickBot="1">
      <c r="A89" s="903"/>
      <c r="B89" s="906" t="s">
        <v>498</v>
      </c>
      <c r="C89" s="904"/>
      <c r="D89" s="920">
        <f>+D88+D83+D76</f>
        <v>0</v>
      </c>
    </row>
    <row r="90" spans="1:5" ht="18.75" thickTop="1">
      <c r="A90" s="903"/>
      <c r="B90" s="903" t="s">
        <v>499</v>
      </c>
      <c r="C90" s="904"/>
      <c r="D90" s="904">
        <f>+D45</f>
        <v>2519028</v>
      </c>
    </row>
    <row r="91" spans="1:5" ht="18.75" thickBot="1">
      <c r="A91" s="903"/>
      <c r="B91" s="903" t="s">
        <v>500</v>
      </c>
      <c r="C91" s="904"/>
      <c r="D91" s="920">
        <f>+D89+D90</f>
        <v>2519028</v>
      </c>
      <c r="E91" s="942">
        <f>+C53</f>
        <v>2440178</v>
      </c>
    </row>
    <row r="92" spans="1:5" ht="18.75" thickTop="1"/>
  </sheetData>
  <mergeCells count="12">
    <mergeCell ref="A57:D57"/>
    <mergeCell ref="A58:D58"/>
    <mergeCell ref="A59:D59"/>
    <mergeCell ref="A60:D60"/>
    <mergeCell ref="A62:C63"/>
    <mergeCell ref="A1:D1"/>
    <mergeCell ref="A2:D2"/>
    <mergeCell ref="A3:D3"/>
    <mergeCell ref="A4:D4"/>
    <mergeCell ref="A5:C6"/>
    <mergeCell ref="B48:B49"/>
    <mergeCell ref="C48:D48"/>
  </mergeCells>
  <printOptions horizontalCentered="1"/>
  <pageMargins left="0.25" right="0.25" top="0.59" bottom="0.25" header="0.5" footer="0.22"/>
  <pageSetup scale="80" orientation="portrait" horizontalDpi="1200" verticalDpi="1200" r:id="rId1"/>
  <headerFooter alignWithMargins="0"/>
  <rowBreaks count="1" manualBreakCount="1">
    <brk id="4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25"/>
  <sheetViews>
    <sheetView view="pageBreakPreview" zoomScale="10" zoomScaleSheetLayoutView="10" workbookViewId="0">
      <selection activeCell="D112" sqref="D112"/>
    </sheetView>
  </sheetViews>
  <sheetFormatPr defaultRowHeight="96"/>
  <cols>
    <col min="1" max="1" width="18.28515625" style="1" customWidth="1"/>
    <col min="2" max="2" width="4.7109375" style="1" customWidth="1"/>
    <col min="3" max="3" width="14.7109375" style="2" customWidth="1"/>
    <col min="4" max="4" width="348.7109375" style="3" customWidth="1"/>
    <col min="5" max="5" width="221.7109375" style="4" customWidth="1"/>
    <col min="6" max="6" width="150.7109375" style="4" customWidth="1"/>
    <col min="7" max="7" width="71" style="4" customWidth="1"/>
    <col min="8" max="8" width="150.7109375" style="4" customWidth="1"/>
    <col min="9" max="9" width="14.7109375" style="2" customWidth="1"/>
    <col min="10" max="10" width="2.85546875" style="1" customWidth="1"/>
    <col min="11" max="11" width="2.140625" style="1" customWidth="1"/>
    <col min="12" max="12" width="5.140625" style="1" hidden="1" customWidth="1"/>
    <col min="13" max="13" width="5.42578125" style="1" customWidth="1"/>
    <col min="14" max="16384" width="9.140625" style="1"/>
  </cols>
  <sheetData>
    <row r="1" spans="2:10" ht="0.75" customHeight="1"/>
    <row r="2" spans="2:10" ht="0.75" customHeight="1"/>
    <row r="3" spans="2:10" ht="0.75" customHeight="1"/>
    <row r="4" spans="2:10" ht="0.75" customHeight="1"/>
    <row r="5" spans="2:10" ht="0.75" customHeight="1"/>
    <row r="6" spans="2:10" ht="0.75" customHeight="1"/>
    <row r="7" spans="2:10" ht="0.75" customHeight="1"/>
    <row r="8" spans="2:10" s="5" customFormat="1" ht="15" customHeight="1" thickBot="1">
      <c r="C8" s="6"/>
      <c r="D8" s="7"/>
      <c r="E8" s="8"/>
      <c r="F8" s="8"/>
      <c r="G8" s="8"/>
      <c r="H8" s="8"/>
      <c r="I8" s="6"/>
    </row>
    <row r="9" spans="2:10" s="5" customFormat="1" ht="18.75" customHeight="1" thickTop="1" thickBot="1">
      <c r="B9" s="9"/>
      <c r="C9" s="10"/>
      <c r="D9" s="10"/>
      <c r="E9" s="11"/>
      <c r="F9" s="11"/>
      <c r="G9" s="11"/>
      <c r="H9" s="11"/>
      <c r="I9" s="12"/>
      <c r="J9" s="13"/>
    </row>
    <row r="10" spans="2:10" ht="213" customHeight="1" thickTop="1">
      <c r="B10" s="14"/>
      <c r="C10" s="15"/>
      <c r="D10" s="16"/>
      <c r="E10" s="16"/>
      <c r="F10" s="16"/>
      <c r="G10" s="16"/>
      <c r="H10" s="16"/>
      <c r="I10" s="17"/>
      <c r="J10" s="18"/>
    </row>
    <row r="11" spans="2:10" ht="127.5">
      <c r="B11" s="14"/>
      <c r="C11" s="19" t="s">
        <v>0</v>
      </c>
      <c r="D11" s="20"/>
      <c r="E11" s="20"/>
      <c r="F11" s="20"/>
      <c r="G11" s="20"/>
      <c r="H11" s="20"/>
      <c r="I11" s="21"/>
      <c r="J11" s="18"/>
    </row>
    <row r="12" spans="2:10" s="27" customFormat="1" ht="117.75" customHeight="1">
      <c r="B12" s="22"/>
      <c r="C12" s="23"/>
      <c r="D12" s="24" t="s">
        <v>1</v>
      </c>
      <c r="E12" s="24"/>
      <c r="F12" s="24"/>
      <c r="G12" s="24"/>
      <c r="H12" s="24"/>
      <c r="I12" s="25"/>
      <c r="J12" s="26"/>
    </row>
    <row r="13" spans="2:10" s="4" customFormat="1" ht="141" customHeight="1">
      <c r="B13" s="28"/>
      <c r="C13" s="28"/>
      <c r="D13" s="29" t="s">
        <v>2</v>
      </c>
      <c r="E13" s="29"/>
      <c r="F13" s="30" t="s">
        <v>3</v>
      </c>
      <c r="G13" s="29"/>
      <c r="H13" s="30" t="s">
        <v>4</v>
      </c>
      <c r="I13" s="31"/>
      <c r="J13" s="31"/>
    </row>
    <row r="14" spans="2:10" s="4" customFormat="1" ht="12.75" customHeight="1">
      <c r="B14" s="28"/>
      <c r="C14" s="28"/>
      <c r="D14" s="32"/>
      <c r="E14" s="8"/>
      <c r="F14" s="33"/>
      <c r="G14" s="8"/>
      <c r="H14" s="33"/>
      <c r="I14" s="31"/>
      <c r="J14" s="31"/>
    </row>
    <row r="15" spans="2:10" s="42" customFormat="1" ht="110.1" customHeight="1">
      <c r="B15" s="34"/>
      <c r="C15" s="35"/>
      <c r="D15" s="36" t="s">
        <v>5</v>
      </c>
      <c r="E15" s="37"/>
      <c r="F15" s="38" t="s">
        <v>6</v>
      </c>
      <c r="G15" s="39"/>
      <c r="H15" s="38" t="s">
        <v>6</v>
      </c>
      <c r="I15" s="40"/>
      <c r="J15" s="41"/>
    </row>
    <row r="16" spans="2:10" ht="16.5" customHeight="1">
      <c r="B16" s="14"/>
      <c r="C16" s="43"/>
      <c r="D16" s="7"/>
      <c r="E16" s="8"/>
      <c r="F16" s="44"/>
      <c r="G16" s="8"/>
      <c r="H16" s="45"/>
      <c r="I16" s="46"/>
      <c r="J16" s="18"/>
    </row>
    <row r="17" spans="2:18" ht="122.25" customHeight="1">
      <c r="B17" s="14"/>
      <c r="C17" s="43"/>
      <c r="D17" s="47" t="s">
        <v>7</v>
      </c>
      <c r="E17" s="8"/>
      <c r="F17" s="48"/>
      <c r="G17" s="8"/>
      <c r="H17" s="48"/>
      <c r="I17" s="46"/>
      <c r="J17" s="18"/>
    </row>
    <row r="18" spans="2:18" s="42" customFormat="1" ht="99.95" customHeight="1">
      <c r="B18" s="34"/>
      <c r="C18" s="35"/>
      <c r="D18" s="49" t="s">
        <v>8</v>
      </c>
      <c r="E18" s="50"/>
      <c r="F18" s="51">
        <f>+H20</f>
        <v>17949105</v>
      </c>
      <c r="G18" s="50"/>
      <c r="H18" s="51">
        <v>18146902</v>
      </c>
      <c r="I18" s="40"/>
      <c r="J18" s="41"/>
    </row>
    <row r="19" spans="2:18" s="42" customFormat="1" ht="99.95" customHeight="1">
      <c r="B19" s="34"/>
      <c r="C19" s="35"/>
      <c r="D19" s="49" t="s">
        <v>9</v>
      </c>
      <c r="E19" s="50"/>
      <c r="F19" s="52">
        <f>+'[1]Profit &amp; loss 17-18'!L111</f>
        <v>-7878</v>
      </c>
      <c r="G19" s="50"/>
      <c r="H19" s="53">
        <v>-197797</v>
      </c>
      <c r="I19" s="40"/>
      <c r="J19" s="41"/>
      <c r="N19" s="54"/>
      <c r="O19" s="54"/>
    </row>
    <row r="20" spans="2:18" s="69" customFormat="1" ht="99.95" customHeight="1">
      <c r="B20" s="55"/>
      <c r="C20" s="56"/>
      <c r="D20" s="57" t="s">
        <v>10</v>
      </c>
      <c r="E20" s="58"/>
      <c r="F20" s="59">
        <f>SUM(F18:F19)</f>
        <v>17941227</v>
      </c>
      <c r="G20" s="58"/>
      <c r="H20" s="60">
        <f>+H18+H19</f>
        <v>17949105</v>
      </c>
      <c r="I20" s="61"/>
      <c r="J20" s="62"/>
      <c r="K20" s="63"/>
      <c r="L20" s="64"/>
      <c r="M20" s="65"/>
      <c r="N20" s="66"/>
      <c r="O20" s="65"/>
      <c r="P20" s="67"/>
      <c r="Q20" s="65"/>
      <c r="R20" s="68"/>
    </row>
    <row r="21" spans="2:18" s="84" customFormat="1" ht="16.5" customHeight="1">
      <c r="B21" s="70"/>
      <c r="C21" s="71"/>
      <c r="D21" s="72"/>
      <c r="E21" s="73"/>
      <c r="F21" s="74"/>
      <c r="G21" s="73"/>
      <c r="H21" s="75"/>
      <c r="I21" s="76"/>
      <c r="J21" s="77"/>
      <c r="K21" s="78"/>
      <c r="L21" s="79"/>
      <c r="M21" s="80"/>
      <c r="N21" s="81"/>
      <c r="O21" s="80"/>
      <c r="P21" s="82"/>
      <c r="Q21" s="80"/>
      <c r="R21" s="83"/>
    </row>
    <row r="22" spans="2:18" s="84" customFormat="1" ht="110.1" customHeight="1">
      <c r="B22" s="70"/>
      <c r="C22" s="71"/>
      <c r="D22" s="85" t="s">
        <v>11</v>
      </c>
      <c r="E22" s="86"/>
      <c r="F22" s="74"/>
      <c r="G22" s="86"/>
      <c r="H22" s="75"/>
      <c r="I22" s="76"/>
      <c r="J22" s="77"/>
      <c r="K22" s="87"/>
      <c r="L22" s="87"/>
      <c r="M22" s="80"/>
      <c r="N22" s="88"/>
      <c r="O22" s="80"/>
      <c r="P22" s="82"/>
      <c r="Q22" s="80"/>
      <c r="R22" s="83"/>
    </row>
    <row r="23" spans="2:18" s="69" customFormat="1" ht="99.95" customHeight="1">
      <c r="B23" s="55"/>
      <c r="C23" s="56"/>
      <c r="D23" s="57" t="s">
        <v>12</v>
      </c>
      <c r="E23" s="58"/>
      <c r="F23" s="51">
        <f>+'[1]S-12345 '!E14</f>
        <v>99735</v>
      </c>
      <c r="G23" s="58"/>
      <c r="H23" s="51">
        <v>185413</v>
      </c>
      <c r="I23" s="61"/>
      <c r="J23" s="62"/>
    </row>
    <row r="24" spans="2:18" s="69" customFormat="1" ht="99.95" customHeight="1">
      <c r="B24" s="55"/>
      <c r="C24" s="56"/>
      <c r="D24" s="57" t="s">
        <v>13</v>
      </c>
      <c r="E24" s="58"/>
      <c r="F24" s="51">
        <f>+'[1]S-12345 '!E23</f>
        <v>316887</v>
      </c>
      <c r="G24" s="58"/>
      <c r="H24" s="51">
        <v>266887</v>
      </c>
      <c r="I24" s="61"/>
      <c r="J24" s="62"/>
    </row>
    <row r="25" spans="2:18" s="69" customFormat="1" ht="99.95" customHeight="1">
      <c r="B25" s="55"/>
      <c r="C25" s="56"/>
      <c r="D25" s="57" t="s">
        <v>14</v>
      </c>
      <c r="E25" s="58"/>
      <c r="F25" s="51">
        <f>+'[1]S-12345 '!E32</f>
        <v>200000</v>
      </c>
      <c r="G25" s="58"/>
      <c r="H25" s="51">
        <v>200000</v>
      </c>
      <c r="I25" s="61"/>
      <c r="J25" s="62"/>
    </row>
    <row r="26" spans="2:18" s="69" customFormat="1" ht="99.95" customHeight="1">
      <c r="B26" s="55"/>
      <c r="C26" s="56"/>
      <c r="D26" s="57" t="s">
        <v>15</v>
      </c>
      <c r="E26" s="58"/>
      <c r="F26" s="51">
        <f>+'[1]S-12345 '!E41</f>
        <v>8250155</v>
      </c>
      <c r="G26" s="58"/>
      <c r="H26" s="51">
        <v>4430546</v>
      </c>
      <c r="I26" s="61"/>
      <c r="J26" s="62"/>
    </row>
    <row r="27" spans="2:18" s="69" customFormat="1" ht="99.95" customHeight="1">
      <c r="B27" s="55"/>
      <c r="C27" s="56"/>
      <c r="D27" s="57" t="s">
        <v>16</v>
      </c>
      <c r="E27" s="58"/>
      <c r="F27" s="51">
        <f>+'[1]S-12345 '!E50</f>
        <v>647057</v>
      </c>
      <c r="G27" s="58"/>
      <c r="H27" s="51">
        <v>480000</v>
      </c>
      <c r="I27" s="61"/>
      <c r="J27" s="62"/>
    </row>
    <row r="28" spans="2:18" s="84" customFormat="1" ht="16.5" customHeight="1">
      <c r="B28" s="70"/>
      <c r="C28" s="71"/>
      <c r="D28" s="89"/>
      <c r="E28" s="90"/>
      <c r="F28" s="91"/>
      <c r="G28" s="90"/>
      <c r="H28" s="91"/>
      <c r="I28" s="76"/>
      <c r="J28" s="77"/>
    </row>
    <row r="29" spans="2:18" ht="110.1" customHeight="1">
      <c r="B29" s="14"/>
      <c r="C29" s="43"/>
      <c r="D29" s="47" t="s">
        <v>17</v>
      </c>
      <c r="E29" s="92"/>
      <c r="F29" s="91"/>
      <c r="G29" s="92"/>
      <c r="H29" s="93"/>
      <c r="I29" s="46"/>
      <c r="J29" s="18"/>
    </row>
    <row r="30" spans="2:18" s="42" customFormat="1" ht="99.95" customHeight="1">
      <c r="B30" s="34"/>
      <c r="C30" s="35"/>
      <c r="D30" s="94" t="s">
        <v>18</v>
      </c>
      <c r="E30" s="95"/>
      <c r="F30" s="91"/>
      <c r="G30" s="95"/>
      <c r="H30" s="93"/>
      <c r="I30" s="40"/>
      <c r="J30" s="41"/>
      <c r="M30" s="96"/>
    </row>
    <row r="31" spans="2:18" s="42" customFormat="1" ht="99.95" customHeight="1">
      <c r="B31" s="34"/>
      <c r="C31" s="35"/>
      <c r="D31" s="94" t="s">
        <v>19</v>
      </c>
      <c r="E31" s="95"/>
      <c r="F31" s="97">
        <f>+'[1]S-6789 '!C45</f>
        <v>1194722</v>
      </c>
      <c r="G31" s="95"/>
      <c r="H31" s="97">
        <v>1150970</v>
      </c>
      <c r="I31" s="40"/>
      <c r="J31" s="41"/>
    </row>
    <row r="32" spans="2:18" s="42" customFormat="1" ht="99.95" customHeight="1">
      <c r="B32" s="34"/>
      <c r="C32" s="35"/>
      <c r="D32" s="94" t="s">
        <v>20</v>
      </c>
      <c r="E32" s="95"/>
      <c r="F32" s="97">
        <f>+'[1]S-6789 '!C64</f>
        <v>326741</v>
      </c>
      <c r="G32" s="95"/>
      <c r="H32" s="97">
        <v>60005</v>
      </c>
      <c r="I32" s="40"/>
      <c r="J32" s="41"/>
    </row>
    <row r="33" spans="2:10" s="42" customFormat="1" ht="99.95" customHeight="1">
      <c r="B33" s="34"/>
      <c r="C33" s="35"/>
      <c r="D33" s="98" t="s">
        <v>21</v>
      </c>
      <c r="E33" s="58"/>
      <c r="F33" s="97">
        <f>+'[1]S-6789 '!C76</f>
        <v>3478520</v>
      </c>
      <c r="G33" s="58"/>
      <c r="H33" s="97">
        <v>1503122</v>
      </c>
      <c r="I33" s="40"/>
      <c r="J33" s="41"/>
    </row>
    <row r="34" spans="2:10" s="42" customFormat="1" ht="99.95" customHeight="1">
      <c r="B34" s="34"/>
      <c r="C34" s="35"/>
      <c r="D34" s="99" t="s">
        <v>22</v>
      </c>
      <c r="E34" s="100"/>
      <c r="F34" s="97">
        <f>+'[1]S-6789 '!C103</f>
        <v>3336975</v>
      </c>
      <c r="G34" s="100"/>
      <c r="H34" s="97">
        <v>3565549</v>
      </c>
      <c r="I34" s="40"/>
      <c r="J34" s="41"/>
    </row>
    <row r="35" spans="2:10" s="42" customFormat="1" ht="99.95" customHeight="1">
      <c r="B35" s="34"/>
      <c r="C35" s="35"/>
      <c r="D35" s="101" t="s">
        <v>23</v>
      </c>
      <c r="F35" s="102">
        <f>+'[1]S-6789 '!C117</f>
        <v>5019479</v>
      </c>
      <c r="H35" s="102">
        <v>204751</v>
      </c>
      <c r="I35" s="40"/>
      <c r="J35" s="41"/>
    </row>
    <row r="36" spans="2:10" ht="25.5" customHeight="1">
      <c r="B36" s="103"/>
      <c r="C36" s="6"/>
      <c r="D36" s="104"/>
      <c r="E36" s="8"/>
      <c r="F36" s="105"/>
      <c r="G36" s="8"/>
      <c r="H36" s="106"/>
      <c r="I36" s="46"/>
      <c r="J36" s="18"/>
    </row>
    <row r="37" spans="2:10" ht="22.5" customHeight="1">
      <c r="B37" s="103"/>
      <c r="C37" s="6"/>
      <c r="D37" s="104"/>
      <c r="E37" s="8"/>
      <c r="F37" s="107"/>
      <c r="G37" s="8"/>
      <c r="H37" s="108"/>
      <c r="I37" s="46"/>
      <c r="J37" s="18"/>
    </row>
    <row r="38" spans="2:10" ht="23.25" customHeight="1">
      <c r="B38" s="14"/>
      <c r="C38" s="43"/>
      <c r="D38" s="109"/>
      <c r="E38" s="110"/>
      <c r="F38" s="111"/>
      <c r="G38" s="110"/>
      <c r="H38" s="112"/>
      <c r="I38" s="46"/>
      <c r="J38" s="18"/>
    </row>
    <row r="39" spans="2:10" ht="99.95" customHeight="1">
      <c r="B39" s="103"/>
      <c r="C39" s="6"/>
      <c r="D39" s="113" t="s">
        <v>24</v>
      </c>
      <c r="E39" s="113"/>
      <c r="F39" s="114">
        <f>SUM(F20:F35)</f>
        <v>40811498</v>
      </c>
      <c r="G39" s="115"/>
      <c r="H39" s="114">
        <f>SUM(H20:H35)</f>
        <v>29996348</v>
      </c>
      <c r="I39" s="46"/>
      <c r="J39" s="18"/>
    </row>
    <row r="40" spans="2:10" ht="23.25" customHeight="1">
      <c r="B40" s="103"/>
      <c r="C40" s="6"/>
      <c r="D40" s="104"/>
      <c r="E40" s="8"/>
      <c r="F40" s="116"/>
      <c r="G40" s="8"/>
      <c r="H40" s="117"/>
      <c r="I40" s="46"/>
      <c r="J40" s="18"/>
    </row>
    <row r="41" spans="2:10" ht="34.5" customHeight="1">
      <c r="B41" s="14"/>
      <c r="C41" s="43"/>
      <c r="D41" s="109"/>
      <c r="E41" s="110"/>
      <c r="F41" s="118"/>
      <c r="G41" s="110"/>
      <c r="H41" s="119"/>
      <c r="I41" s="46"/>
      <c r="J41" s="18"/>
    </row>
    <row r="42" spans="2:10" ht="110.1" customHeight="1">
      <c r="B42" s="14"/>
      <c r="C42" s="43"/>
      <c r="D42" s="120" t="s">
        <v>25</v>
      </c>
      <c r="E42" s="121"/>
      <c r="F42" s="122" t="s">
        <v>6</v>
      </c>
      <c r="G42" s="123"/>
      <c r="H42" s="124" t="s">
        <v>6</v>
      </c>
      <c r="I42" s="46"/>
      <c r="J42" s="18"/>
    </row>
    <row r="43" spans="2:10" ht="27" customHeight="1">
      <c r="B43" s="14"/>
      <c r="C43" s="43"/>
      <c r="D43" s="104"/>
      <c r="E43" s="8"/>
      <c r="F43" s="116"/>
      <c r="G43" s="8"/>
      <c r="H43" s="117"/>
      <c r="I43" s="46"/>
      <c r="J43" s="18"/>
    </row>
    <row r="44" spans="2:10" s="42" customFormat="1" ht="99.95" customHeight="1">
      <c r="B44" s="34"/>
      <c r="C44" s="35"/>
      <c r="D44" s="125" t="s">
        <v>26</v>
      </c>
      <c r="E44" s="58"/>
      <c r="F44" s="97">
        <f>+'[1]S-10'!C113</f>
        <v>6358940</v>
      </c>
      <c r="G44" s="58"/>
      <c r="H44" s="97">
        <v>6340254</v>
      </c>
      <c r="I44" s="40"/>
      <c r="J44" s="41"/>
    </row>
    <row r="45" spans="2:10" s="42" customFormat="1" ht="99.95" customHeight="1">
      <c r="B45" s="34"/>
      <c r="C45" s="35"/>
      <c r="D45" s="98" t="s">
        <v>27</v>
      </c>
      <c r="E45" s="58"/>
      <c r="F45" s="97">
        <f>+'[1]S-10'!D113</f>
        <v>4490018</v>
      </c>
      <c r="G45" s="58"/>
      <c r="H45" s="97">
        <v>1021897</v>
      </c>
      <c r="I45" s="40"/>
      <c r="J45" s="41"/>
    </row>
    <row r="46" spans="2:10" s="42" customFormat="1" ht="99.95" customHeight="1">
      <c r="B46" s="34"/>
      <c r="C46" s="35"/>
      <c r="D46" s="98" t="s">
        <v>28</v>
      </c>
      <c r="E46" s="58"/>
      <c r="F46" s="97">
        <f>+'[1]S-10'!E113</f>
        <v>0</v>
      </c>
      <c r="G46" s="58"/>
      <c r="H46" s="97">
        <v>0</v>
      </c>
      <c r="I46" s="40"/>
      <c r="J46" s="41"/>
    </row>
    <row r="47" spans="2:10" s="42" customFormat="1" ht="99.95" customHeight="1">
      <c r="B47" s="34"/>
      <c r="C47" s="35"/>
      <c r="D47" s="98" t="s">
        <v>29</v>
      </c>
      <c r="E47" s="58"/>
      <c r="F47" s="97">
        <f>+'[1]S-10'!H113</f>
        <v>1809158</v>
      </c>
      <c r="G47" s="58"/>
      <c r="H47" s="97">
        <v>1003211</v>
      </c>
      <c r="I47" s="40"/>
      <c r="J47" s="41"/>
    </row>
    <row r="48" spans="2:10" s="42" customFormat="1" ht="99.95" customHeight="1">
      <c r="B48" s="34"/>
      <c r="C48" s="35"/>
      <c r="D48" s="126" t="s">
        <v>30</v>
      </c>
      <c r="E48" s="127"/>
      <c r="F48" s="128">
        <f>+F44+F45-F46-F47</f>
        <v>9039800</v>
      </c>
      <c r="G48" s="127"/>
      <c r="H48" s="128">
        <f>+H44+H45-H46-H47</f>
        <v>6358940</v>
      </c>
      <c r="I48" s="40"/>
      <c r="J48" s="41"/>
    </row>
    <row r="49" spans="2:10" ht="25.5" customHeight="1">
      <c r="B49" s="103"/>
      <c r="C49" s="6"/>
      <c r="D49" s="129"/>
      <c r="E49" s="130"/>
      <c r="F49" s="131" t="s">
        <v>31</v>
      </c>
      <c r="G49" s="130"/>
      <c r="H49" s="117"/>
      <c r="I49" s="46"/>
      <c r="J49" s="18"/>
    </row>
    <row r="50" spans="2:10" ht="99.95" customHeight="1">
      <c r="B50" s="103"/>
      <c r="C50" s="6"/>
      <c r="D50" s="132" t="s">
        <v>32</v>
      </c>
      <c r="E50" s="130"/>
      <c r="F50" s="133">
        <v>155356</v>
      </c>
      <c r="G50" s="130"/>
      <c r="H50" s="134">
        <v>0</v>
      </c>
      <c r="I50" s="46"/>
      <c r="J50" s="18"/>
    </row>
    <row r="51" spans="2:10" ht="25.5" customHeight="1">
      <c r="B51" s="103"/>
      <c r="C51" s="6"/>
      <c r="D51" s="129"/>
      <c r="E51" s="130"/>
      <c r="F51" s="131"/>
      <c r="G51" s="130"/>
      <c r="H51" s="117"/>
      <c r="I51" s="46"/>
      <c r="J51" s="18"/>
    </row>
    <row r="52" spans="2:10" ht="91.5" customHeight="1">
      <c r="B52" s="103"/>
      <c r="C52" s="6"/>
      <c r="D52" s="135" t="s">
        <v>33</v>
      </c>
      <c r="E52" s="130"/>
      <c r="F52" s="131"/>
      <c r="G52" s="130"/>
      <c r="H52" s="117"/>
      <c r="I52" s="46"/>
      <c r="J52" s="18"/>
    </row>
    <row r="53" spans="2:10" ht="25.5" customHeight="1">
      <c r="B53" s="103"/>
      <c r="C53" s="6"/>
      <c r="D53" s="129"/>
      <c r="E53" s="130"/>
      <c r="F53" s="131"/>
      <c r="G53" s="130"/>
      <c r="H53" s="117"/>
      <c r="I53" s="46"/>
      <c r="J53" s="18"/>
    </row>
    <row r="54" spans="2:10" ht="99.95" customHeight="1">
      <c r="B54" s="103"/>
      <c r="C54" s="6"/>
      <c r="D54" s="98" t="s">
        <v>34</v>
      </c>
      <c r="E54" s="58"/>
      <c r="F54" s="97">
        <f>+'[1]S-11-18'!C13</f>
        <v>1736438</v>
      </c>
      <c r="G54" s="58"/>
      <c r="H54" s="97">
        <v>1000000</v>
      </c>
      <c r="I54" s="46"/>
      <c r="J54" s="18"/>
    </row>
    <row r="55" spans="2:10" ht="99.95" customHeight="1">
      <c r="B55" s="103"/>
      <c r="C55" s="6"/>
      <c r="D55" s="98" t="s">
        <v>35</v>
      </c>
      <c r="E55" s="58"/>
      <c r="F55" s="97">
        <v>17315</v>
      </c>
      <c r="G55" s="58"/>
      <c r="H55" s="97">
        <v>291</v>
      </c>
      <c r="I55" s="46"/>
      <c r="J55" s="18"/>
    </row>
    <row r="56" spans="2:10" ht="21" customHeight="1">
      <c r="B56" s="103"/>
      <c r="C56" s="6"/>
      <c r="D56" s="129"/>
      <c r="E56" s="130"/>
      <c r="F56" s="131"/>
      <c r="G56" s="130"/>
      <c r="H56" s="117"/>
      <c r="I56" s="46"/>
      <c r="J56" s="18"/>
    </row>
    <row r="57" spans="2:10" ht="91.5" customHeight="1">
      <c r="B57" s="103"/>
      <c r="C57" s="5"/>
      <c r="D57" s="135" t="s">
        <v>36</v>
      </c>
      <c r="E57" s="86"/>
      <c r="F57" s="136"/>
      <c r="G57" s="86"/>
      <c r="H57" s="137"/>
      <c r="I57" s="46"/>
      <c r="J57" s="18"/>
    </row>
    <row r="58" spans="2:10" ht="110.1" customHeight="1">
      <c r="B58" s="14"/>
      <c r="C58" s="43"/>
      <c r="D58" s="138" t="s">
        <v>37</v>
      </c>
      <c r="E58" s="139"/>
      <c r="F58" s="131"/>
      <c r="G58" s="139"/>
      <c r="H58" s="117"/>
      <c r="I58" s="46"/>
      <c r="J58" s="18"/>
    </row>
    <row r="59" spans="2:10" s="42" customFormat="1" ht="99.95" customHeight="1">
      <c r="B59" s="34"/>
      <c r="C59" s="35"/>
      <c r="D59" s="98" t="s">
        <v>38</v>
      </c>
      <c r="E59" s="58"/>
      <c r="F59" s="97">
        <f>+'[1]S-11-18'!C23</f>
        <v>31910</v>
      </c>
      <c r="G59" s="58"/>
      <c r="H59" s="97">
        <v>51237</v>
      </c>
      <c r="I59" s="40"/>
      <c r="J59" s="41"/>
    </row>
    <row r="60" spans="2:10" s="42" customFormat="1" ht="99.95" customHeight="1">
      <c r="B60" s="34"/>
      <c r="C60" s="35"/>
      <c r="D60" s="98" t="s">
        <v>39</v>
      </c>
      <c r="E60" s="58"/>
      <c r="F60" s="97">
        <f>+'[1]S-11-18'!C47</f>
        <v>138671</v>
      </c>
      <c r="G60" s="58"/>
      <c r="H60" s="97">
        <v>185853</v>
      </c>
      <c r="I60" s="40"/>
      <c r="J60" s="41"/>
    </row>
    <row r="61" spans="2:10" s="42" customFormat="1" ht="99.95" customHeight="1">
      <c r="B61" s="34"/>
      <c r="C61" s="35"/>
      <c r="D61" s="98" t="s">
        <v>40</v>
      </c>
      <c r="E61" s="58"/>
      <c r="F61" s="97">
        <f>+'[1]S-11-18'!C61</f>
        <v>642132</v>
      </c>
      <c r="G61" s="58"/>
      <c r="H61" s="97">
        <v>819837</v>
      </c>
      <c r="I61" s="40"/>
      <c r="J61" s="41"/>
    </row>
    <row r="62" spans="2:10" s="42" customFormat="1" ht="99.95" customHeight="1">
      <c r="B62" s="34"/>
      <c r="C62" s="35"/>
      <c r="D62" s="98" t="s">
        <v>458</v>
      </c>
      <c r="E62" s="58"/>
      <c r="F62" s="97">
        <f>+'[1]S-11-18'!C69</f>
        <v>17486999</v>
      </c>
      <c r="G62" s="58"/>
      <c r="H62" s="97">
        <v>9768434</v>
      </c>
      <c r="I62" s="40"/>
      <c r="J62" s="41"/>
    </row>
    <row r="63" spans="2:10" ht="23.25" customHeight="1">
      <c r="B63" s="14"/>
      <c r="C63" s="43"/>
      <c r="D63" s="140"/>
      <c r="E63" s="73"/>
      <c r="F63" s="108"/>
      <c r="G63" s="73"/>
      <c r="H63" s="108"/>
      <c r="I63" s="46"/>
      <c r="J63" s="18"/>
    </row>
    <row r="64" spans="2:10" ht="110.1" customHeight="1">
      <c r="B64" s="14"/>
      <c r="C64" s="43"/>
      <c r="D64" s="138" t="s">
        <v>41</v>
      </c>
      <c r="E64" s="86"/>
      <c r="F64" s="131"/>
      <c r="G64" s="86"/>
      <c r="H64" s="117"/>
      <c r="I64" s="46"/>
      <c r="J64" s="18"/>
    </row>
    <row r="65" spans="1:10" s="42" customFormat="1" ht="99.95" customHeight="1">
      <c r="A65" s="41"/>
      <c r="B65" s="54"/>
      <c r="C65" s="35"/>
      <c r="D65" s="98" t="s">
        <v>42</v>
      </c>
      <c r="E65" s="58"/>
      <c r="F65" s="97">
        <f>+'[1]S-11-18'!C79</f>
        <v>6546423</v>
      </c>
      <c r="G65" s="58"/>
      <c r="H65" s="97">
        <v>5584160</v>
      </c>
      <c r="I65" s="40"/>
      <c r="J65" s="41"/>
    </row>
    <row r="66" spans="1:10" s="42" customFormat="1" ht="99.95" customHeight="1">
      <c r="A66" s="41"/>
      <c r="B66" s="54"/>
      <c r="C66" s="35"/>
      <c r="D66" s="98" t="s">
        <v>43</v>
      </c>
      <c r="E66" s="58"/>
      <c r="F66" s="97">
        <f>+'[1]S-11-18'!C89</f>
        <v>180000</v>
      </c>
      <c r="G66" s="58"/>
      <c r="H66" s="97">
        <v>100000</v>
      </c>
      <c r="I66" s="40"/>
      <c r="J66" s="41"/>
    </row>
    <row r="67" spans="1:10" ht="34.5" customHeight="1">
      <c r="A67" s="18"/>
      <c r="B67" s="5"/>
      <c r="C67" s="43"/>
      <c r="D67" s="141"/>
      <c r="E67" s="8"/>
      <c r="F67" s="142"/>
      <c r="G67" s="8"/>
      <c r="H67" s="106"/>
      <c r="I67" s="46"/>
      <c r="J67" s="18"/>
    </row>
    <row r="68" spans="1:10" ht="110.1" customHeight="1">
      <c r="A68" s="18"/>
      <c r="B68" s="5"/>
      <c r="C68" s="43"/>
      <c r="D68" s="138" t="s">
        <v>44</v>
      </c>
      <c r="E68" s="86"/>
      <c r="F68" s="131"/>
      <c r="G68" s="86"/>
      <c r="H68" s="108"/>
      <c r="I68" s="46"/>
      <c r="J68" s="18"/>
    </row>
    <row r="69" spans="1:10" s="42" customFormat="1" ht="99.95" customHeight="1">
      <c r="A69" s="41"/>
      <c r="B69" s="54"/>
      <c r="C69" s="35"/>
      <c r="D69" s="98" t="s">
        <v>45</v>
      </c>
      <c r="E69" s="58"/>
      <c r="F69" s="97">
        <f>+'[1]Profit &amp; loss 17-18'!I29</f>
        <v>1965508</v>
      </c>
      <c r="G69" s="58"/>
      <c r="H69" s="97">
        <v>3256165</v>
      </c>
      <c r="I69" s="40"/>
      <c r="J69" s="41"/>
    </row>
    <row r="70" spans="1:10" ht="27.75" customHeight="1">
      <c r="A70" s="18"/>
      <c r="B70" s="5"/>
      <c r="C70" s="43"/>
      <c r="D70" s="140"/>
      <c r="E70" s="73"/>
      <c r="F70" s="143"/>
      <c r="G70" s="73"/>
      <c r="H70" s="143"/>
      <c r="I70" s="46"/>
      <c r="J70" s="18"/>
    </row>
    <row r="71" spans="1:10" ht="110.1" customHeight="1">
      <c r="A71" s="18"/>
      <c r="B71" s="5"/>
      <c r="C71" s="43"/>
      <c r="D71" s="138" t="s">
        <v>46</v>
      </c>
      <c r="E71" s="73"/>
      <c r="F71" s="143"/>
      <c r="G71" s="73"/>
      <c r="H71" s="143"/>
      <c r="I71" s="46"/>
      <c r="J71" s="18"/>
    </row>
    <row r="72" spans="1:10" s="42" customFormat="1" ht="99.95" customHeight="1">
      <c r="A72" s="41"/>
      <c r="B72" s="54"/>
      <c r="C72" s="35"/>
      <c r="D72" s="98" t="s">
        <v>47</v>
      </c>
      <c r="E72" s="58"/>
      <c r="F72" s="97">
        <v>390285</v>
      </c>
      <c r="G72" s="58"/>
      <c r="H72" s="97">
        <v>300174</v>
      </c>
      <c r="I72" s="40"/>
      <c r="J72" s="41"/>
    </row>
    <row r="73" spans="1:10" s="42" customFormat="1" ht="99.95" customHeight="1">
      <c r="A73" s="41"/>
      <c r="B73" s="54"/>
      <c r="C73" s="35"/>
      <c r="D73" s="98" t="s">
        <v>48</v>
      </c>
      <c r="E73" s="58"/>
      <c r="F73" s="97">
        <v>40483</v>
      </c>
      <c r="G73" s="58"/>
      <c r="H73" s="97">
        <v>52229</v>
      </c>
      <c r="I73" s="40"/>
      <c r="J73" s="41"/>
    </row>
    <row r="74" spans="1:10" ht="24" customHeight="1">
      <c r="A74" s="18"/>
      <c r="B74" s="5"/>
      <c r="C74" s="43"/>
      <c r="D74" s="141"/>
      <c r="E74" s="8"/>
      <c r="F74" s="131"/>
      <c r="G74" s="8"/>
      <c r="H74" s="108"/>
      <c r="I74" s="46"/>
      <c r="J74" s="18"/>
    </row>
    <row r="75" spans="1:10" s="42" customFormat="1" ht="110.1" customHeight="1">
      <c r="A75" s="41"/>
      <c r="B75" s="54"/>
      <c r="C75" s="35"/>
      <c r="D75" s="138" t="s">
        <v>49</v>
      </c>
      <c r="E75" s="127"/>
      <c r="F75" s="144"/>
      <c r="G75" s="127"/>
      <c r="H75" s="93"/>
      <c r="I75" s="40"/>
      <c r="J75" s="41"/>
    </row>
    <row r="76" spans="1:10" s="42" customFormat="1" ht="99.95" customHeight="1">
      <c r="A76" s="41"/>
      <c r="B76" s="54"/>
      <c r="C76" s="35"/>
      <c r="D76" s="98" t="s">
        <v>50</v>
      </c>
      <c r="E76" s="58"/>
      <c r="F76" s="97">
        <v>14700</v>
      </c>
      <c r="G76" s="58"/>
      <c r="H76" s="97">
        <v>14700</v>
      </c>
      <c r="I76" s="40"/>
      <c r="J76" s="41"/>
    </row>
    <row r="77" spans="1:10" s="42" customFormat="1" ht="99.95" customHeight="1">
      <c r="A77" s="41"/>
      <c r="B77" s="54"/>
      <c r="C77" s="35"/>
      <c r="D77" s="98" t="s">
        <v>51</v>
      </c>
      <c r="E77" s="58"/>
      <c r="F77" s="97">
        <v>894448</v>
      </c>
      <c r="G77" s="58"/>
      <c r="H77" s="97">
        <v>2314813</v>
      </c>
      <c r="I77" s="40"/>
      <c r="J77" s="41"/>
    </row>
    <row r="78" spans="1:10" s="42" customFormat="1" ht="99.75" customHeight="1">
      <c r="A78" s="41"/>
      <c r="B78" s="54"/>
      <c r="C78" s="35"/>
      <c r="D78" s="98" t="s">
        <v>52</v>
      </c>
      <c r="E78" s="58"/>
      <c r="F78" s="97">
        <v>113867</v>
      </c>
      <c r="G78" s="58"/>
      <c r="H78" s="97">
        <v>185748</v>
      </c>
      <c r="I78" s="40"/>
      <c r="J78" s="41"/>
    </row>
    <row r="79" spans="1:10" s="42" customFormat="1" ht="99.75" customHeight="1">
      <c r="A79" s="41"/>
      <c r="B79" s="54"/>
      <c r="C79" s="35"/>
      <c r="D79" s="98" t="s">
        <v>53</v>
      </c>
      <c r="E79" s="58"/>
      <c r="F79" s="97">
        <v>418519</v>
      </c>
      <c r="G79" s="58"/>
      <c r="H79" s="97">
        <v>0</v>
      </c>
      <c r="I79" s="40"/>
      <c r="J79" s="41"/>
    </row>
    <row r="80" spans="1:10" s="42" customFormat="1" ht="99.75" customHeight="1">
      <c r="A80" s="41"/>
      <c r="B80" s="54"/>
      <c r="C80" s="35"/>
      <c r="D80" s="98" t="s">
        <v>54</v>
      </c>
      <c r="E80" s="58"/>
      <c r="F80" s="97">
        <v>933750</v>
      </c>
      <c r="G80" s="58"/>
      <c r="H80" s="97">
        <v>0</v>
      </c>
      <c r="I80" s="40"/>
      <c r="J80" s="41"/>
    </row>
    <row r="81" spans="1:13" s="42" customFormat="1" ht="99.75" customHeight="1">
      <c r="A81" s="41"/>
      <c r="B81" s="54"/>
      <c r="C81" s="35"/>
      <c r="D81" s="98" t="s">
        <v>55</v>
      </c>
      <c r="E81" s="58"/>
      <c r="F81" s="97">
        <v>64894</v>
      </c>
      <c r="G81" s="58"/>
      <c r="H81" s="97">
        <v>0</v>
      </c>
      <c r="I81" s="40"/>
      <c r="J81" s="41"/>
    </row>
    <row r="82" spans="1:13" s="42" customFormat="1" ht="99.95" customHeight="1">
      <c r="A82" s="41"/>
      <c r="B82" s="54"/>
      <c r="C82" s="35"/>
      <c r="D82" s="98" t="s">
        <v>56</v>
      </c>
      <c r="E82" s="58"/>
      <c r="F82" s="97">
        <v>0</v>
      </c>
      <c r="G82" s="58"/>
      <c r="H82" s="97">
        <v>3767</v>
      </c>
      <c r="I82" s="40"/>
      <c r="J82" s="41"/>
      <c r="M82" s="145"/>
    </row>
    <row r="83" spans="1:13" ht="32.25" customHeight="1">
      <c r="A83" s="18"/>
      <c r="C83" s="43"/>
      <c r="D83" s="104"/>
      <c r="E83" s="8"/>
      <c r="F83" s="146"/>
      <c r="G83" s="8"/>
      <c r="H83" s="108"/>
      <c r="I83" s="46"/>
      <c r="J83" s="18"/>
      <c r="M83" s="147"/>
    </row>
    <row r="84" spans="1:13" ht="23.25" customHeight="1">
      <c r="A84" s="18"/>
      <c r="B84" s="5"/>
      <c r="C84" s="43"/>
      <c r="D84" s="109"/>
      <c r="E84" s="110"/>
      <c r="F84" s="148"/>
      <c r="G84" s="110"/>
      <c r="H84" s="112"/>
      <c r="I84" s="46"/>
      <c r="J84" s="18"/>
      <c r="M84" s="147"/>
    </row>
    <row r="85" spans="1:13" ht="99.95" customHeight="1">
      <c r="A85" s="18"/>
      <c r="B85" s="103"/>
      <c r="C85" s="6"/>
      <c r="D85" s="149" t="s">
        <v>57</v>
      </c>
      <c r="E85" s="8"/>
      <c r="F85" s="150">
        <f>SUM(F48:F82)</f>
        <v>40811498</v>
      </c>
      <c r="G85" s="8"/>
      <c r="H85" s="150">
        <f>SUM(H48:H82)</f>
        <v>29996348</v>
      </c>
      <c r="I85" s="46"/>
      <c r="J85" s="18"/>
      <c r="M85" s="147"/>
    </row>
    <row r="86" spans="1:13" ht="18.75" customHeight="1">
      <c r="A86" s="18"/>
      <c r="B86" s="103"/>
      <c r="C86" s="6"/>
      <c r="D86" s="7"/>
      <c r="E86" s="8"/>
      <c r="F86" s="151"/>
      <c r="G86" s="8"/>
      <c r="H86" s="151"/>
      <c r="I86" s="46"/>
      <c r="J86" s="18"/>
    </row>
    <row r="87" spans="1:13" ht="18.75" customHeight="1">
      <c r="A87" s="18"/>
      <c r="B87" s="103"/>
      <c r="C87" s="6"/>
      <c r="D87" s="152"/>
      <c r="E87" s="110"/>
      <c r="F87" s="110"/>
      <c r="G87" s="110"/>
      <c r="H87" s="110"/>
      <c r="I87" s="46"/>
      <c r="J87" s="103"/>
    </row>
    <row r="88" spans="1:13">
      <c r="A88" s="18"/>
      <c r="B88" s="103"/>
      <c r="F88" s="153"/>
      <c r="I88" s="46"/>
      <c r="J88" s="103"/>
    </row>
    <row r="89" spans="1:13">
      <c r="A89" s="18"/>
      <c r="B89" s="103"/>
      <c r="F89" s="154"/>
      <c r="G89" s="154"/>
      <c r="H89" s="154"/>
      <c r="I89" s="46"/>
      <c r="J89" s="103"/>
    </row>
    <row r="90" spans="1:13">
      <c r="A90" s="18"/>
      <c r="B90" s="103"/>
      <c r="I90" s="46"/>
      <c r="J90" s="103"/>
    </row>
    <row r="91" spans="1:13" ht="16.5" customHeight="1">
      <c r="A91" s="18"/>
      <c r="B91" s="103"/>
      <c r="F91" s="154"/>
      <c r="I91" s="46"/>
      <c r="J91" s="103"/>
    </row>
    <row r="92" spans="1:13" ht="21.75" customHeight="1">
      <c r="A92" s="18"/>
      <c r="B92" s="103"/>
      <c r="D92" s="155"/>
      <c r="G92" s="3"/>
      <c r="H92" s="156"/>
      <c r="I92" s="46"/>
      <c r="J92" s="103"/>
    </row>
    <row r="93" spans="1:13" ht="103.5" customHeight="1">
      <c r="A93" s="18"/>
      <c r="B93" s="103"/>
      <c r="F93" s="157"/>
      <c r="I93" s="46"/>
      <c r="J93" s="103"/>
    </row>
    <row r="94" spans="1:13">
      <c r="A94" s="18"/>
      <c r="B94" s="103"/>
      <c r="C94" s="158"/>
      <c r="D94" s="159"/>
      <c r="E94" s="159"/>
      <c r="F94" s="159"/>
      <c r="G94" s="159"/>
      <c r="H94" s="159"/>
      <c r="I94" s="160"/>
      <c r="J94" s="103"/>
    </row>
    <row r="95" spans="1:13">
      <c r="A95" s="18"/>
      <c r="B95" s="103"/>
      <c r="C95" s="161"/>
      <c r="D95" s="162" t="s">
        <v>58</v>
      </c>
      <c r="E95" s="162"/>
      <c r="F95" s="162"/>
      <c r="G95" s="162"/>
      <c r="H95" s="162"/>
      <c r="I95" s="163"/>
      <c r="J95" s="103"/>
    </row>
    <row r="96" spans="1:13" ht="23.25" customHeight="1">
      <c r="A96" s="18"/>
      <c r="B96" s="103"/>
      <c r="C96" s="1"/>
      <c r="D96" s="164"/>
      <c r="E96" s="164"/>
      <c r="F96" s="164"/>
      <c r="G96" s="164"/>
      <c r="H96" s="164"/>
      <c r="I96" s="165"/>
      <c r="J96" s="103"/>
    </row>
    <row r="97" spans="1:10" s="171" customFormat="1" ht="111" customHeight="1">
      <c r="A97" s="166"/>
      <c r="B97" s="167"/>
      <c r="C97" s="168"/>
      <c r="D97" s="169" t="s">
        <v>59</v>
      </c>
      <c r="E97" s="168"/>
      <c r="F97" s="168"/>
      <c r="G97" s="168"/>
      <c r="H97" s="168"/>
      <c r="I97" s="170"/>
      <c r="J97" s="167"/>
    </row>
    <row r="98" spans="1:10" s="171" customFormat="1" ht="105" customHeight="1">
      <c r="A98" s="166"/>
      <c r="B98" s="167"/>
      <c r="C98" s="168"/>
      <c r="D98" s="169" t="s">
        <v>60</v>
      </c>
      <c r="E98" s="168"/>
      <c r="F98" s="168"/>
      <c r="G98" s="168"/>
      <c r="H98" s="168"/>
      <c r="I98" s="170"/>
      <c r="J98" s="167"/>
    </row>
    <row r="99" spans="1:10" s="171" customFormat="1" ht="110.25">
      <c r="A99" s="166"/>
      <c r="B99" s="172"/>
      <c r="C99" s="168"/>
      <c r="D99" s="169" t="s">
        <v>61</v>
      </c>
      <c r="E99" s="168"/>
      <c r="F99" s="168"/>
      <c r="G99" s="168"/>
      <c r="H99" s="168"/>
      <c r="I99" s="170"/>
      <c r="J99" s="167"/>
    </row>
    <row r="100" spans="1:10">
      <c r="A100" s="18"/>
      <c r="B100" s="173"/>
      <c r="C100" s="155"/>
      <c r="D100" s="168"/>
      <c r="E100" s="168"/>
      <c r="F100" s="168"/>
      <c r="G100" s="168"/>
      <c r="H100" s="168"/>
      <c r="I100" s="170"/>
      <c r="J100" s="103"/>
    </row>
    <row r="101" spans="1:10" ht="69" customHeight="1">
      <c r="A101" s="18"/>
      <c r="B101" s="174"/>
      <c r="C101" s="6"/>
      <c r="D101" s="175"/>
      <c r="E101" s="164"/>
      <c r="F101" s="176"/>
      <c r="G101" s="164"/>
      <c r="H101" s="164"/>
      <c r="I101" s="18"/>
      <c r="J101" s="103"/>
    </row>
    <row r="102" spans="1:10" ht="132.75" customHeight="1">
      <c r="A102" s="18"/>
      <c r="B102" s="174"/>
      <c r="C102" s="6"/>
      <c r="D102" s="164"/>
      <c r="E102" s="164"/>
      <c r="F102" s="164"/>
      <c r="G102" s="164"/>
      <c r="H102" s="164"/>
      <c r="I102" s="18"/>
      <c r="J102" s="103"/>
    </row>
    <row r="103" spans="1:10" ht="84" customHeight="1">
      <c r="A103" s="18"/>
      <c r="B103" s="177"/>
      <c r="C103" s="178"/>
      <c r="D103" s="179"/>
      <c r="E103" s="179"/>
      <c r="F103" s="180"/>
      <c r="G103" s="180"/>
      <c r="H103" s="181"/>
      <c r="I103" s="182"/>
      <c r="J103" s="103"/>
    </row>
    <row r="104" spans="1:10">
      <c r="A104" s="18"/>
      <c r="B104" s="183"/>
      <c r="C104" s="95"/>
      <c r="D104" s="184" t="s">
        <v>62</v>
      </c>
      <c r="E104" s="184"/>
      <c r="F104" s="185" t="s">
        <v>63</v>
      </c>
      <c r="G104" s="185"/>
      <c r="H104" s="186"/>
      <c r="I104" s="186"/>
      <c r="J104" s="103"/>
    </row>
    <row r="105" spans="1:10" ht="15.75" customHeight="1">
      <c r="A105" s="18"/>
      <c r="B105" s="183"/>
      <c r="C105" s="95"/>
      <c r="D105" s="184"/>
      <c r="E105" s="184"/>
      <c r="F105" s="184"/>
      <c r="G105" s="184"/>
      <c r="H105" s="184"/>
      <c r="I105" s="187"/>
      <c r="J105" s="103"/>
    </row>
    <row r="106" spans="1:10" s="194" customFormat="1" ht="88.5" customHeight="1">
      <c r="A106" s="188"/>
      <c r="B106" s="189"/>
      <c r="C106" s="190"/>
      <c r="D106" s="191"/>
      <c r="E106" s="192"/>
      <c r="F106" s="192"/>
      <c r="G106" s="192"/>
      <c r="H106" s="192"/>
      <c r="I106" s="188"/>
      <c r="J106" s="193"/>
    </row>
    <row r="107" spans="1:10" s="194" customFormat="1" ht="83.25">
      <c r="A107" s="188"/>
      <c r="B107" s="189"/>
      <c r="C107" s="195"/>
      <c r="D107" s="196" t="s">
        <v>64</v>
      </c>
      <c r="E107" s="197"/>
      <c r="F107" s="197"/>
      <c r="G107" s="197"/>
      <c r="H107" s="197"/>
      <c r="I107" s="188"/>
      <c r="J107" s="193"/>
    </row>
    <row r="108" spans="1:10">
      <c r="A108" s="18"/>
      <c r="B108" s="103"/>
      <c r="I108" s="46"/>
      <c r="J108" s="103"/>
    </row>
    <row r="109" spans="1:10" ht="96.75" thickBot="1">
      <c r="A109" s="18"/>
      <c r="B109" s="103"/>
      <c r="I109" s="46"/>
      <c r="J109" s="198"/>
    </row>
    <row r="110" spans="1:10" ht="22.5" customHeight="1" thickTop="1" thickBot="1">
      <c r="A110" s="103"/>
      <c r="B110" s="9"/>
      <c r="C110" s="10"/>
      <c r="D110" s="10"/>
      <c r="E110" s="11"/>
      <c r="F110" s="11"/>
      <c r="G110" s="11"/>
      <c r="H110" s="11"/>
      <c r="I110" s="12"/>
      <c r="J110" s="13"/>
    </row>
    <row r="111" spans="1:10" ht="38.25" customHeight="1" thickTop="1">
      <c r="A111" s="5"/>
      <c r="B111" s="5"/>
      <c r="C111" s="6"/>
    </row>
    <row r="112" spans="1:10">
      <c r="A112" s="5"/>
      <c r="B112" s="5"/>
    </row>
    <row r="113" spans="4:4">
      <c r="D113" s="7"/>
    </row>
    <row r="114" spans="4:4">
      <c r="D114" s="7"/>
    </row>
    <row r="115" spans="4:4">
      <c r="D115" s="7"/>
    </row>
    <row r="124" spans="4:4" ht="96.75" thickBot="1"/>
    <row r="125" spans="4:4" ht="96.75" thickTop="1">
      <c r="D125" s="199"/>
    </row>
  </sheetData>
  <mergeCells count="8">
    <mergeCell ref="F104:G104"/>
    <mergeCell ref="H104:I104"/>
    <mergeCell ref="C10:I10"/>
    <mergeCell ref="C11:I11"/>
    <mergeCell ref="D12:H12"/>
    <mergeCell ref="D39:E39"/>
    <mergeCell ref="F103:G103"/>
    <mergeCell ref="H103:I103"/>
  </mergeCells>
  <pageMargins left="0.15748031496063" right="0.15748031496063" top="0.16" bottom="0.15748031496063" header="0.15748031496063" footer="0.15748031496063"/>
  <pageSetup paperSize="9" scale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41"/>
  <sheetViews>
    <sheetView view="pageBreakPreview" topLeftCell="A114" zoomScale="20" zoomScaleSheetLayoutView="20" workbookViewId="0">
      <selection activeCell="I134" sqref="I134:J134"/>
    </sheetView>
  </sheetViews>
  <sheetFormatPr defaultRowHeight="80.099999999999994" customHeight="1"/>
  <cols>
    <col min="1" max="1" width="5.140625" style="200" customWidth="1"/>
    <col min="2" max="2" width="2.28515625" style="200" customWidth="1"/>
    <col min="3" max="3" width="7.28515625" style="200" customWidth="1"/>
    <col min="4" max="4" width="66.7109375" style="201" customWidth="1"/>
    <col min="5" max="5" width="3.7109375" style="202" customWidth="1"/>
    <col min="6" max="6" width="181.85546875" style="203" customWidth="1"/>
    <col min="7" max="7" width="3.85546875" style="203" customWidth="1"/>
    <col min="8" max="9" width="70.7109375" style="204" customWidth="1"/>
    <col min="10" max="10" width="70.7109375" style="205" customWidth="1"/>
    <col min="11" max="11" width="4.140625" style="206" customWidth="1"/>
    <col min="12" max="12" width="90.7109375" style="204" customWidth="1"/>
    <col min="13" max="13" width="8.7109375" style="202" customWidth="1"/>
    <col min="14" max="14" width="2.28515625" style="202" customWidth="1"/>
    <col min="15" max="15" width="1.85546875" style="202" customWidth="1"/>
    <col min="16" max="16" width="5.140625" style="204" hidden="1" customWidth="1"/>
    <col min="17" max="17" width="5.85546875" style="204" hidden="1" customWidth="1"/>
    <col min="18" max="18" width="56.85546875" style="207" hidden="1" customWidth="1"/>
    <col min="19" max="20" width="9.140625" style="202" hidden="1" customWidth="1"/>
    <col min="21" max="27" width="9.140625" style="204"/>
    <col min="28" max="16384" width="9.140625" style="208"/>
  </cols>
  <sheetData>
    <row r="1" spans="1:27" ht="17.25" customHeight="1" thickBot="1"/>
    <row r="2" spans="1:27" ht="16.5" customHeight="1" thickTop="1" thickBot="1">
      <c r="B2" s="209"/>
      <c r="C2" s="210"/>
      <c r="D2" s="211"/>
      <c r="E2" s="212"/>
      <c r="F2" s="213"/>
      <c r="G2" s="213"/>
      <c r="H2" s="214"/>
      <c r="I2" s="214"/>
      <c r="J2" s="215"/>
      <c r="K2" s="214"/>
      <c r="L2" s="214"/>
      <c r="M2" s="212"/>
      <c r="N2" s="216"/>
    </row>
    <row r="3" spans="1:27" s="225" customFormat="1" ht="146.25" customHeight="1" thickTop="1">
      <c r="A3" s="217"/>
      <c r="B3" s="218"/>
      <c r="C3" s="219"/>
      <c r="D3" s="220"/>
      <c r="E3" s="220"/>
      <c r="F3" s="220"/>
      <c r="G3" s="220"/>
      <c r="H3" s="220"/>
      <c r="I3" s="220"/>
      <c r="J3" s="220"/>
      <c r="K3" s="220"/>
      <c r="L3" s="220"/>
      <c r="M3" s="221"/>
      <c r="N3" s="222"/>
      <c r="O3" s="223"/>
      <c r="P3" s="224"/>
      <c r="Q3" s="224"/>
      <c r="R3" s="223"/>
      <c r="S3" s="223"/>
      <c r="T3" s="223"/>
      <c r="U3" s="224"/>
      <c r="V3" s="224"/>
      <c r="W3" s="224"/>
      <c r="X3" s="224"/>
      <c r="Y3" s="224"/>
      <c r="Z3" s="224"/>
      <c r="AA3" s="224"/>
    </row>
    <row r="4" spans="1:27" s="225" customFormat="1" ht="90" customHeight="1">
      <c r="A4" s="217"/>
      <c r="B4" s="218"/>
      <c r="C4" s="226"/>
      <c r="D4" s="227"/>
      <c r="E4" s="227"/>
      <c r="F4" s="227"/>
      <c r="G4" s="227"/>
      <c r="H4" s="227"/>
      <c r="I4" s="227"/>
      <c r="J4" s="227"/>
      <c r="K4" s="227"/>
      <c r="L4" s="227"/>
      <c r="M4" s="228"/>
      <c r="N4" s="222"/>
      <c r="O4" s="223"/>
      <c r="P4" s="224"/>
      <c r="Q4" s="224"/>
      <c r="R4" s="223"/>
      <c r="S4" s="223"/>
      <c r="T4" s="223"/>
      <c r="U4" s="224"/>
      <c r="V4" s="224"/>
      <c r="W4" s="224"/>
      <c r="X4" s="224"/>
      <c r="Y4" s="224"/>
      <c r="Z4" s="224"/>
      <c r="AA4" s="224"/>
    </row>
    <row r="5" spans="1:27" s="238" customFormat="1" ht="135" customHeight="1">
      <c r="A5" s="229"/>
      <c r="B5" s="230"/>
      <c r="C5" s="231" t="s">
        <v>65</v>
      </c>
      <c r="D5" s="232"/>
      <c r="E5" s="232"/>
      <c r="F5" s="232"/>
      <c r="G5" s="232"/>
      <c r="H5" s="232"/>
      <c r="I5" s="232"/>
      <c r="J5" s="232"/>
      <c r="K5" s="232"/>
      <c r="L5" s="232"/>
      <c r="M5" s="233"/>
      <c r="N5" s="234"/>
      <c r="O5" s="235"/>
      <c r="P5" s="236"/>
      <c r="Q5" s="236"/>
      <c r="R5" s="237"/>
      <c r="S5" s="235"/>
      <c r="T5" s="235"/>
      <c r="U5" s="236"/>
      <c r="V5" s="236"/>
      <c r="W5" s="236"/>
      <c r="X5" s="236"/>
      <c r="Y5" s="236"/>
      <c r="Z5" s="236"/>
      <c r="AA5" s="236"/>
    </row>
    <row r="6" spans="1:27" s="238" customFormat="1" ht="78.75" customHeight="1">
      <c r="A6" s="229"/>
      <c r="B6" s="230"/>
      <c r="C6" s="239"/>
      <c r="D6" s="240"/>
      <c r="E6" s="240"/>
      <c r="F6" s="240"/>
      <c r="G6" s="240"/>
      <c r="H6" s="241" t="s">
        <v>66</v>
      </c>
      <c r="I6" s="241"/>
      <c r="J6" s="241"/>
      <c r="K6" s="241"/>
      <c r="L6" s="241"/>
      <c r="M6" s="242"/>
      <c r="N6" s="234"/>
      <c r="O6" s="235"/>
      <c r="P6" s="236"/>
      <c r="Q6" s="236"/>
      <c r="R6" s="237"/>
      <c r="S6" s="235"/>
      <c r="T6" s="235"/>
      <c r="U6" s="236"/>
      <c r="V6" s="236"/>
      <c r="W6" s="236"/>
      <c r="X6" s="236"/>
      <c r="Y6" s="236"/>
      <c r="Z6" s="236"/>
      <c r="AA6" s="236"/>
    </row>
    <row r="7" spans="1:27" s="243" customFormat="1" ht="144.94999999999999" customHeight="1" thickBot="1">
      <c r="B7" s="244"/>
      <c r="C7" s="244"/>
      <c r="D7" s="245" t="s">
        <v>67</v>
      </c>
      <c r="E7" s="246"/>
      <c r="F7" s="247"/>
      <c r="G7" s="247"/>
      <c r="H7" s="248" t="s">
        <v>68</v>
      </c>
      <c r="I7" s="248" t="s">
        <v>69</v>
      </c>
      <c r="J7" s="249" t="s">
        <v>70</v>
      </c>
      <c r="K7" s="250"/>
      <c r="L7" s="251" t="s">
        <v>71</v>
      </c>
      <c r="M7" s="252"/>
      <c r="N7" s="252"/>
      <c r="O7" s="253"/>
      <c r="P7" s="253"/>
      <c r="Q7" s="253"/>
      <c r="R7" s="254"/>
      <c r="S7" s="253"/>
      <c r="T7" s="253"/>
      <c r="U7" s="253"/>
      <c r="V7" s="253"/>
      <c r="W7" s="253"/>
      <c r="X7" s="253"/>
      <c r="Y7" s="253"/>
      <c r="Z7" s="253"/>
      <c r="AA7" s="253"/>
    </row>
    <row r="8" spans="1:27" s="243" customFormat="1" ht="13.5" customHeight="1" thickBot="1">
      <c r="B8" s="244"/>
      <c r="C8" s="244"/>
      <c r="D8" s="245"/>
      <c r="E8" s="246"/>
      <c r="F8" s="255"/>
      <c r="G8" s="255"/>
      <c r="H8" s="256"/>
      <c r="I8" s="256"/>
      <c r="J8" s="257"/>
      <c r="K8" s="256"/>
      <c r="L8" s="256"/>
      <c r="M8" s="252"/>
      <c r="N8" s="252"/>
      <c r="O8" s="253"/>
      <c r="P8" s="253"/>
      <c r="Q8" s="253"/>
      <c r="R8" s="254"/>
      <c r="S8" s="253"/>
      <c r="T8" s="253"/>
      <c r="U8" s="253"/>
      <c r="V8" s="253"/>
      <c r="W8" s="253"/>
      <c r="X8" s="253"/>
      <c r="Y8" s="253"/>
      <c r="Z8" s="253"/>
      <c r="AA8" s="253"/>
    </row>
    <row r="9" spans="1:27" s="269" customFormat="1" ht="99.95" customHeight="1">
      <c r="A9" s="258"/>
      <c r="B9" s="259"/>
      <c r="C9" s="259"/>
      <c r="D9" s="260" t="s">
        <v>6</v>
      </c>
      <c r="E9" s="261"/>
      <c r="F9" s="262" t="s">
        <v>72</v>
      </c>
      <c r="G9" s="263"/>
      <c r="H9" s="260" t="s">
        <v>6</v>
      </c>
      <c r="I9" s="260" t="s">
        <v>6</v>
      </c>
      <c r="J9" s="260" t="s">
        <v>6</v>
      </c>
      <c r="K9" s="264"/>
      <c r="L9" s="260" t="s">
        <v>6</v>
      </c>
      <c r="M9" s="265"/>
      <c r="N9" s="265"/>
      <c r="O9" s="266"/>
      <c r="P9" s="267"/>
      <c r="Q9" s="267"/>
      <c r="R9" s="268"/>
      <c r="S9" s="266"/>
      <c r="T9" s="266"/>
      <c r="U9" s="267"/>
      <c r="V9" s="267"/>
      <c r="W9" s="267"/>
      <c r="X9" s="267"/>
      <c r="Y9" s="267"/>
      <c r="Z9" s="267"/>
      <c r="AA9" s="267"/>
    </row>
    <row r="10" spans="1:27" ht="24.95" customHeight="1">
      <c r="B10" s="270"/>
      <c r="C10" s="270"/>
      <c r="D10" s="271"/>
      <c r="E10" s="272"/>
      <c r="F10" s="273"/>
      <c r="G10" s="273"/>
      <c r="H10" s="274"/>
      <c r="I10" s="275"/>
      <c r="J10" s="276"/>
      <c r="K10" s="277"/>
      <c r="L10" s="275"/>
      <c r="M10" s="278"/>
      <c r="N10" s="278"/>
    </row>
    <row r="11" spans="1:27" s="292" customFormat="1" ht="80.099999999999994" customHeight="1">
      <c r="A11" s="279"/>
      <c r="B11" s="280"/>
      <c r="C11" s="280"/>
      <c r="D11" s="281">
        <f>29862633+3000000</f>
        <v>32862633</v>
      </c>
      <c r="E11" s="282"/>
      <c r="F11" s="283" t="s">
        <v>73</v>
      </c>
      <c r="G11" s="284"/>
      <c r="H11" s="285">
        <f>43468992</f>
        <v>43468992</v>
      </c>
      <c r="I11" s="285" t="s">
        <v>74</v>
      </c>
      <c r="J11" s="285" t="s">
        <v>74</v>
      </c>
      <c r="K11" s="286"/>
      <c r="L11" s="287">
        <f>+H11</f>
        <v>43468992</v>
      </c>
      <c r="M11" s="288"/>
      <c r="N11" s="288"/>
      <c r="O11" s="289"/>
      <c r="P11" s="290"/>
      <c r="Q11" s="290"/>
      <c r="R11" s="291"/>
      <c r="S11" s="289"/>
      <c r="T11" s="289"/>
      <c r="U11" s="290"/>
      <c r="V11" s="290"/>
      <c r="W11" s="290"/>
      <c r="X11" s="290"/>
      <c r="Y11" s="290"/>
      <c r="Z11" s="290"/>
      <c r="AA11" s="290"/>
    </row>
    <row r="12" spans="1:27" s="292" customFormat="1" ht="80.099999999999994" customHeight="1">
      <c r="A12" s="279"/>
      <c r="B12" s="280"/>
      <c r="C12" s="280"/>
      <c r="D12" s="281">
        <v>334022</v>
      </c>
      <c r="E12" s="282"/>
      <c r="F12" s="293" t="s">
        <v>75</v>
      </c>
      <c r="G12" s="294"/>
      <c r="H12" s="295" t="s">
        <v>74</v>
      </c>
      <c r="I12" s="285" t="s">
        <v>74</v>
      </c>
      <c r="J12" s="285">
        <f>610133+4200</f>
        <v>614333</v>
      </c>
      <c r="K12" s="296"/>
      <c r="L12" s="287">
        <f>+J12</f>
        <v>614333</v>
      </c>
      <c r="M12" s="288"/>
      <c r="N12" s="288"/>
      <c r="O12" s="289"/>
      <c r="P12" s="290"/>
      <c r="Q12" s="290"/>
      <c r="R12" s="291"/>
      <c r="S12" s="289"/>
      <c r="T12" s="289"/>
      <c r="U12" s="290"/>
      <c r="V12" s="290"/>
      <c r="W12" s="290"/>
      <c r="X12" s="290"/>
      <c r="Y12" s="290"/>
      <c r="Z12" s="290"/>
      <c r="AA12" s="290"/>
    </row>
    <row r="13" spans="1:27" s="292" customFormat="1" ht="80.099999999999994" customHeight="1">
      <c r="A13" s="279"/>
      <c r="B13" s="280"/>
      <c r="C13" s="280"/>
      <c r="D13" s="281">
        <v>12371598</v>
      </c>
      <c r="E13" s="282"/>
      <c r="F13" s="283" t="s">
        <v>76</v>
      </c>
      <c r="G13" s="297"/>
      <c r="H13" s="295" t="s">
        <v>74</v>
      </c>
      <c r="I13" s="285">
        <f>12723606+622104+381468</f>
        <v>13727178</v>
      </c>
      <c r="J13" s="285" t="s">
        <v>74</v>
      </c>
      <c r="K13" s="286"/>
      <c r="L13" s="287">
        <f>+I13</f>
        <v>13727178</v>
      </c>
      <c r="M13" s="288"/>
      <c r="N13" s="288"/>
      <c r="O13" s="289"/>
      <c r="P13" s="290"/>
      <c r="Q13" s="290"/>
      <c r="R13" s="291"/>
      <c r="S13" s="298"/>
      <c r="T13" s="289"/>
      <c r="U13" s="290"/>
      <c r="V13" s="290"/>
      <c r="W13" s="290"/>
      <c r="X13" s="290"/>
      <c r="Y13" s="290"/>
      <c r="Z13" s="290"/>
      <c r="AA13" s="290"/>
    </row>
    <row r="14" spans="1:27" s="308" customFormat="1" ht="80.099999999999994" customHeight="1">
      <c r="A14" s="299"/>
      <c r="B14" s="300"/>
      <c r="C14" s="300"/>
      <c r="D14" s="281">
        <v>65900</v>
      </c>
      <c r="E14" s="301"/>
      <c r="F14" s="293" t="s">
        <v>77</v>
      </c>
      <c r="G14" s="294"/>
      <c r="H14" s="295" t="s">
        <v>74</v>
      </c>
      <c r="I14" s="285" t="s">
        <v>74</v>
      </c>
      <c r="J14" s="285">
        <v>46800</v>
      </c>
      <c r="K14" s="296"/>
      <c r="L14" s="287">
        <f t="shared" ref="L14:L19" si="0">+J14</f>
        <v>46800</v>
      </c>
      <c r="M14" s="302"/>
      <c r="N14" s="302"/>
      <c r="O14" s="303"/>
      <c r="P14" s="304"/>
      <c r="Q14" s="305"/>
      <c r="R14" s="291"/>
      <c r="S14" s="305"/>
      <c r="T14" s="306"/>
      <c r="U14" s="307"/>
      <c r="V14" s="307"/>
      <c r="W14" s="307"/>
      <c r="X14" s="307"/>
      <c r="Y14" s="307"/>
      <c r="Z14" s="307"/>
      <c r="AA14" s="307"/>
    </row>
    <row r="15" spans="1:27" s="308" customFormat="1" ht="80.099999999999994" customHeight="1">
      <c r="A15" s="299"/>
      <c r="B15" s="300"/>
      <c r="C15" s="300"/>
      <c r="D15" s="281">
        <v>233600</v>
      </c>
      <c r="E15" s="301"/>
      <c r="F15" s="293" t="s">
        <v>78</v>
      </c>
      <c r="G15" s="294"/>
      <c r="H15" s="295"/>
      <c r="I15" s="285" t="s">
        <v>74</v>
      </c>
      <c r="J15" s="285">
        <v>365000</v>
      </c>
      <c r="K15" s="296"/>
      <c r="L15" s="287">
        <f t="shared" si="0"/>
        <v>365000</v>
      </c>
      <c r="M15" s="302"/>
      <c r="N15" s="302"/>
      <c r="O15" s="303"/>
      <c r="P15" s="304"/>
      <c r="Q15" s="305"/>
      <c r="R15" s="291"/>
      <c r="S15" s="305"/>
      <c r="T15" s="306"/>
      <c r="U15" s="307"/>
      <c r="V15" s="307"/>
      <c r="W15" s="307"/>
      <c r="X15" s="307"/>
      <c r="Y15" s="307"/>
      <c r="Z15" s="307"/>
      <c r="AA15" s="307"/>
    </row>
    <row r="16" spans="1:27" s="308" customFormat="1" ht="80.099999999999994" customHeight="1">
      <c r="A16" s="299"/>
      <c r="B16" s="300"/>
      <c r="C16" s="300"/>
      <c r="D16" s="281">
        <v>102716</v>
      </c>
      <c r="E16" s="301"/>
      <c r="F16" s="293" t="s">
        <v>79</v>
      </c>
      <c r="G16" s="294"/>
      <c r="H16" s="295" t="s">
        <v>74</v>
      </c>
      <c r="I16" s="285" t="s">
        <v>74</v>
      </c>
      <c r="J16" s="285">
        <f>30816+76512</f>
        <v>107328</v>
      </c>
      <c r="K16" s="296"/>
      <c r="L16" s="287">
        <f t="shared" si="0"/>
        <v>107328</v>
      </c>
      <c r="M16" s="302"/>
      <c r="N16" s="302"/>
      <c r="O16" s="303"/>
      <c r="P16" s="304"/>
      <c r="Q16" s="305"/>
      <c r="R16" s="291"/>
      <c r="S16" s="305"/>
      <c r="T16" s="306"/>
      <c r="U16" s="307"/>
      <c r="V16" s="307"/>
      <c r="W16" s="307"/>
      <c r="X16" s="307"/>
      <c r="Y16" s="307"/>
      <c r="Z16" s="307"/>
      <c r="AA16" s="307"/>
    </row>
    <row r="17" spans="1:27" s="308" customFormat="1" ht="80.099999999999994" customHeight="1">
      <c r="A17" s="299"/>
      <c r="B17" s="300"/>
      <c r="C17" s="300"/>
      <c r="D17" s="281">
        <v>4400000</v>
      </c>
      <c r="E17" s="301"/>
      <c r="F17" s="293" t="s">
        <v>80</v>
      </c>
      <c r="G17" s="294"/>
      <c r="H17" s="295" t="s">
        <v>74</v>
      </c>
      <c r="I17" s="285" t="s">
        <v>74</v>
      </c>
      <c r="J17" s="285">
        <v>4588400</v>
      </c>
      <c r="K17" s="296"/>
      <c r="L17" s="287">
        <f t="shared" si="0"/>
        <v>4588400</v>
      </c>
      <c r="M17" s="302"/>
      <c r="N17" s="302"/>
      <c r="O17" s="309"/>
      <c r="P17" s="307"/>
      <c r="Q17" s="307"/>
      <c r="R17" s="291"/>
      <c r="S17" s="309"/>
      <c r="T17" s="309"/>
      <c r="U17" s="307"/>
      <c r="V17" s="307"/>
      <c r="W17" s="307"/>
      <c r="X17" s="307"/>
      <c r="Y17" s="307"/>
      <c r="Z17" s="307"/>
      <c r="AA17" s="307"/>
    </row>
    <row r="18" spans="1:27" s="308" customFormat="1" ht="80.099999999999994" customHeight="1">
      <c r="A18" s="299"/>
      <c r="B18" s="300"/>
      <c r="C18" s="300"/>
      <c r="D18" s="281">
        <v>4400000</v>
      </c>
      <c r="E18" s="301"/>
      <c r="F18" s="293" t="s">
        <v>81</v>
      </c>
      <c r="G18" s="294"/>
      <c r="H18" s="295" t="s">
        <v>74</v>
      </c>
      <c r="I18" s="285" t="s">
        <v>74</v>
      </c>
      <c r="J18" s="285">
        <v>4588400</v>
      </c>
      <c r="K18" s="296"/>
      <c r="L18" s="287">
        <f t="shared" si="0"/>
        <v>4588400</v>
      </c>
      <c r="M18" s="302"/>
      <c r="N18" s="302"/>
      <c r="O18" s="309"/>
      <c r="P18" s="307"/>
      <c r="Q18" s="307"/>
      <c r="R18" s="291"/>
      <c r="S18" s="309"/>
      <c r="T18" s="309"/>
      <c r="U18" s="307"/>
      <c r="V18" s="307"/>
      <c r="W18" s="307"/>
      <c r="X18" s="307"/>
      <c r="Y18" s="307"/>
      <c r="Z18" s="307"/>
      <c r="AA18" s="307"/>
    </row>
    <row r="19" spans="1:27" s="308" customFormat="1" ht="82.5" customHeight="1">
      <c r="A19" s="299"/>
      <c r="B19" s="300"/>
      <c r="C19" s="300"/>
      <c r="D19" s="281">
        <v>54000</v>
      </c>
      <c r="E19" s="301"/>
      <c r="F19" s="293" t="s">
        <v>82</v>
      </c>
      <c r="G19" s="294"/>
      <c r="H19" s="295" t="s">
        <v>74</v>
      </c>
      <c r="I19" s="285" t="s">
        <v>74</v>
      </c>
      <c r="J19" s="285">
        <v>96000</v>
      </c>
      <c r="K19" s="296"/>
      <c r="L19" s="287">
        <f t="shared" si="0"/>
        <v>96000</v>
      </c>
      <c r="M19" s="302"/>
      <c r="N19" s="302"/>
      <c r="O19" s="309"/>
      <c r="P19" s="307"/>
      <c r="Q19" s="307"/>
      <c r="R19" s="291"/>
      <c r="S19" s="309"/>
      <c r="T19" s="309"/>
      <c r="U19" s="307"/>
      <c r="V19" s="307"/>
      <c r="W19" s="307"/>
      <c r="X19" s="307"/>
      <c r="Y19" s="307"/>
      <c r="Z19" s="307"/>
      <c r="AA19" s="307"/>
    </row>
    <row r="20" spans="1:27" s="323" customFormat="1" ht="24.95" customHeight="1" thickBot="1">
      <c r="A20" s="310"/>
      <c r="B20" s="311"/>
      <c r="C20" s="311"/>
      <c r="D20" s="312"/>
      <c r="E20" s="313"/>
      <c r="F20" s="314"/>
      <c r="G20" s="314"/>
      <c r="H20" s="315"/>
      <c r="I20" s="316"/>
      <c r="J20" s="317"/>
      <c r="K20" s="316"/>
      <c r="L20" s="318"/>
      <c r="M20" s="319"/>
      <c r="N20" s="319"/>
      <c r="O20" s="320"/>
      <c r="P20" s="321"/>
      <c r="Q20" s="321"/>
      <c r="R20" s="322"/>
      <c r="S20" s="320"/>
      <c r="T20" s="320"/>
      <c r="U20" s="321"/>
      <c r="V20" s="321"/>
      <c r="W20" s="321"/>
      <c r="X20" s="321"/>
      <c r="Y20" s="321"/>
      <c r="Z20" s="321"/>
      <c r="AA20" s="321"/>
    </row>
    <row r="21" spans="1:27" s="308" customFormat="1" ht="99.95" customHeight="1" thickBot="1">
      <c r="A21" s="299"/>
      <c r="B21" s="300"/>
      <c r="C21" s="300"/>
      <c r="D21" s="324"/>
      <c r="E21" s="301"/>
      <c r="F21" s="325" t="s">
        <v>83</v>
      </c>
      <c r="G21" s="326"/>
      <c r="H21" s="327">
        <f>SUM(H11:H20)</f>
        <v>43468992</v>
      </c>
      <c r="I21" s="327">
        <f>SUM(I11:I20)</f>
        <v>13727178</v>
      </c>
      <c r="J21" s="328">
        <f>SUM(J11:J20)</f>
        <v>10406261</v>
      </c>
      <c r="K21" s="329"/>
      <c r="L21" s="330">
        <f>+H21+I21+J21</f>
        <v>67602431</v>
      </c>
      <c r="M21" s="302"/>
      <c r="N21" s="302"/>
      <c r="O21" s="309"/>
      <c r="P21" s="307"/>
      <c r="Q21" s="307"/>
      <c r="R21" s="291"/>
      <c r="S21" s="309"/>
      <c r="T21" s="331"/>
      <c r="U21" s="307"/>
      <c r="V21" s="307"/>
      <c r="W21" s="307"/>
      <c r="X21" s="307"/>
      <c r="Y21" s="307"/>
      <c r="Z21" s="307"/>
      <c r="AA21" s="307"/>
    </row>
    <row r="22" spans="1:27" s="323" customFormat="1" ht="20.100000000000001" customHeight="1" thickBot="1">
      <c r="A22" s="310"/>
      <c r="B22" s="311"/>
      <c r="C22" s="311"/>
      <c r="D22" s="332"/>
      <c r="E22" s="313"/>
      <c r="F22" s="333"/>
      <c r="G22" s="333"/>
      <c r="H22" s="334"/>
      <c r="I22" s="334"/>
      <c r="J22" s="335"/>
      <c r="K22" s="336"/>
      <c r="L22" s="337"/>
      <c r="M22" s="319"/>
      <c r="N22" s="319"/>
      <c r="O22" s="320"/>
      <c r="P22" s="321"/>
      <c r="Q22" s="321"/>
      <c r="R22" s="322"/>
      <c r="S22" s="320"/>
      <c r="T22" s="320"/>
      <c r="U22" s="321"/>
      <c r="V22" s="321"/>
      <c r="W22" s="321"/>
      <c r="X22" s="321"/>
      <c r="Y22" s="321"/>
      <c r="Z22" s="321"/>
      <c r="AA22" s="321"/>
    </row>
    <row r="23" spans="1:27" s="308" customFormat="1" ht="99.95" customHeight="1" thickBot="1">
      <c r="A23" s="299"/>
      <c r="B23" s="300"/>
      <c r="C23" s="300"/>
      <c r="D23" s="338">
        <f>SUM(D11:D19)</f>
        <v>54824469</v>
      </c>
      <c r="E23" s="301"/>
      <c r="F23" s="339" t="s">
        <v>84</v>
      </c>
      <c r="G23" s="340"/>
      <c r="H23" s="341">
        <f>29862633+3000000</f>
        <v>32862633</v>
      </c>
      <c r="I23" s="341">
        <v>12371598</v>
      </c>
      <c r="J23" s="342">
        <f>9356638+233600</f>
        <v>9590238</v>
      </c>
      <c r="K23" s="343"/>
      <c r="L23" s="338">
        <f>SUM(H23:J23)</f>
        <v>54824469</v>
      </c>
      <c r="M23" s="302"/>
      <c r="N23" s="302"/>
      <c r="O23" s="309"/>
      <c r="P23" s="307"/>
      <c r="Q23" s="307"/>
      <c r="R23" s="291"/>
      <c r="S23" s="309"/>
      <c r="T23" s="309"/>
      <c r="U23" s="307"/>
      <c r="V23" s="307"/>
      <c r="W23" s="307"/>
      <c r="X23" s="307"/>
      <c r="Y23" s="307"/>
      <c r="Z23" s="307"/>
      <c r="AA23" s="307"/>
    </row>
    <row r="24" spans="1:27" s="323" customFormat="1" ht="30" customHeight="1">
      <c r="A24" s="310"/>
      <c r="B24" s="311"/>
      <c r="C24" s="311"/>
      <c r="D24" s="332"/>
      <c r="E24" s="313"/>
      <c r="F24" s="344"/>
      <c r="G24" s="344"/>
      <c r="H24" s="314"/>
      <c r="I24" s="314"/>
      <c r="J24" s="345"/>
      <c r="K24" s="346"/>
      <c r="L24" s="347"/>
      <c r="M24" s="319"/>
      <c r="N24" s="319"/>
      <c r="O24" s="320"/>
      <c r="P24" s="321"/>
      <c r="Q24" s="321"/>
      <c r="R24" s="322"/>
      <c r="S24" s="320"/>
      <c r="T24" s="320"/>
      <c r="U24" s="321"/>
      <c r="V24" s="321"/>
      <c r="W24" s="321"/>
      <c r="X24" s="321"/>
      <c r="Y24" s="321"/>
      <c r="Z24" s="321"/>
      <c r="AA24" s="321"/>
    </row>
    <row r="25" spans="1:27" s="323" customFormat="1" ht="99.95" customHeight="1">
      <c r="A25" s="310"/>
      <c r="B25" s="311"/>
      <c r="C25" s="311"/>
      <c r="D25" s="260" t="s">
        <v>6</v>
      </c>
      <c r="E25" s="348"/>
      <c r="F25" s="262" t="s">
        <v>85</v>
      </c>
      <c r="G25" s="349"/>
      <c r="H25" s="260" t="s">
        <v>6</v>
      </c>
      <c r="I25" s="260" t="s">
        <v>6</v>
      </c>
      <c r="J25" s="260" t="s">
        <v>6</v>
      </c>
      <c r="K25" s="264"/>
      <c r="L25" s="260" t="s">
        <v>6</v>
      </c>
      <c r="M25" s="319"/>
      <c r="N25" s="319"/>
      <c r="O25" s="320"/>
      <c r="P25" s="321"/>
      <c r="Q25" s="321"/>
      <c r="R25" s="322"/>
      <c r="S25" s="350"/>
      <c r="T25" s="350"/>
      <c r="U25" s="321"/>
      <c r="V25" s="321"/>
      <c r="W25" s="321"/>
      <c r="X25" s="321"/>
      <c r="Y25" s="321"/>
      <c r="Z25" s="321"/>
      <c r="AA25" s="321"/>
    </row>
    <row r="26" spans="1:27" s="361" customFormat="1" ht="120" customHeight="1">
      <c r="A26" s="351"/>
      <c r="B26" s="352"/>
      <c r="C26" s="352"/>
      <c r="D26" s="353"/>
      <c r="E26" s="346"/>
      <c r="F26" s="354" t="s">
        <v>86</v>
      </c>
      <c r="G26" s="355"/>
      <c r="H26" s="314"/>
      <c r="I26" s="314"/>
      <c r="J26" s="345"/>
      <c r="K26" s="346"/>
      <c r="L26" s="356"/>
      <c r="M26" s="357"/>
      <c r="N26" s="357"/>
      <c r="O26" s="358"/>
      <c r="P26" s="359"/>
      <c r="Q26" s="359"/>
      <c r="R26" s="360"/>
      <c r="S26" s="358"/>
      <c r="T26" s="358"/>
      <c r="U26" s="359"/>
      <c r="V26" s="359"/>
      <c r="W26" s="359"/>
      <c r="X26" s="359"/>
      <c r="Y26" s="359"/>
      <c r="Z26" s="359"/>
      <c r="AA26" s="359"/>
    </row>
    <row r="27" spans="1:27" s="308" customFormat="1" ht="80.099999999999994" customHeight="1">
      <c r="A27" s="299"/>
      <c r="B27" s="300"/>
      <c r="C27" s="300"/>
      <c r="D27" s="281">
        <v>2345528</v>
      </c>
      <c r="E27" s="301"/>
      <c r="F27" s="362" t="s">
        <v>87</v>
      </c>
      <c r="G27" s="363"/>
      <c r="H27" s="364" t="s">
        <v>74</v>
      </c>
      <c r="I27" s="365">
        <v>3256165</v>
      </c>
      <c r="J27" s="366" t="s">
        <v>74</v>
      </c>
      <c r="K27" s="301"/>
      <c r="L27" s="367">
        <f>+I27</f>
        <v>3256165</v>
      </c>
      <c r="M27" s="302"/>
      <c r="N27" s="302"/>
      <c r="O27" s="309"/>
      <c r="P27" s="307"/>
      <c r="Q27" s="307"/>
      <c r="R27" s="368"/>
      <c r="S27" s="309"/>
      <c r="T27" s="309"/>
      <c r="U27" s="307"/>
      <c r="V27" s="307"/>
      <c r="W27" s="307"/>
      <c r="X27" s="307"/>
      <c r="Y27" s="307"/>
      <c r="Z27" s="307"/>
      <c r="AA27" s="307"/>
    </row>
    <row r="28" spans="1:27" s="308" customFormat="1" ht="80.099999999999994" customHeight="1">
      <c r="A28" s="299"/>
      <c r="B28" s="300"/>
      <c r="C28" s="300"/>
      <c r="D28" s="281">
        <v>7060297</v>
      </c>
      <c r="E28" s="301"/>
      <c r="F28" s="283" t="s">
        <v>88</v>
      </c>
      <c r="G28" s="369"/>
      <c r="H28" s="364" t="s">
        <v>74</v>
      </c>
      <c r="I28" s="365">
        <v>6148242</v>
      </c>
      <c r="J28" s="366" t="s">
        <v>74</v>
      </c>
      <c r="K28" s="301"/>
      <c r="L28" s="367">
        <f>+I28</f>
        <v>6148242</v>
      </c>
      <c r="M28" s="302"/>
      <c r="N28" s="302"/>
      <c r="O28" s="309"/>
      <c r="P28" s="307"/>
      <c r="Q28" s="307"/>
      <c r="R28" s="368"/>
      <c r="S28" s="309"/>
      <c r="T28" s="309"/>
      <c r="U28" s="307"/>
      <c r="V28" s="307"/>
      <c r="W28" s="307"/>
      <c r="X28" s="307"/>
      <c r="Y28" s="307"/>
      <c r="Z28" s="307"/>
      <c r="AA28" s="307"/>
    </row>
    <row r="29" spans="1:27" s="308" customFormat="1" ht="80.099999999999994" customHeight="1">
      <c r="A29" s="299"/>
      <c r="B29" s="300"/>
      <c r="C29" s="300"/>
      <c r="D29" s="281">
        <v>3256165</v>
      </c>
      <c r="E29" s="301"/>
      <c r="F29" s="362" t="s">
        <v>89</v>
      </c>
      <c r="G29" s="370"/>
      <c r="H29" s="364" t="s">
        <v>74</v>
      </c>
      <c r="I29" s="365">
        <v>1965508</v>
      </c>
      <c r="J29" s="366" t="s">
        <v>74</v>
      </c>
      <c r="K29" s="301"/>
      <c r="L29" s="367">
        <f>+I29</f>
        <v>1965508</v>
      </c>
      <c r="M29" s="302"/>
      <c r="N29" s="302"/>
      <c r="O29" s="309"/>
      <c r="P29" s="307"/>
      <c r="Q29" s="307"/>
      <c r="R29" s="368"/>
      <c r="S29" s="309"/>
      <c r="T29" s="309"/>
      <c r="U29" s="307"/>
      <c r="V29" s="307"/>
      <c r="W29" s="307"/>
      <c r="X29" s="307"/>
      <c r="Y29" s="307"/>
      <c r="Z29" s="307"/>
      <c r="AA29" s="307"/>
    </row>
    <row r="30" spans="1:27" s="308" customFormat="1" ht="80.099999999999994" customHeight="1">
      <c r="A30" s="299"/>
      <c r="B30" s="300"/>
      <c r="C30" s="300"/>
      <c r="D30" s="367">
        <f>+D27+D28-D29</f>
        <v>6149660</v>
      </c>
      <c r="E30" s="301"/>
      <c r="F30" s="371" t="s">
        <v>90</v>
      </c>
      <c r="G30" s="372"/>
      <c r="H30" s="373" t="s">
        <v>74</v>
      </c>
      <c r="I30" s="374">
        <f>+I27+I28-I29</f>
        <v>7438899</v>
      </c>
      <c r="J30" s="375" t="s">
        <v>74</v>
      </c>
      <c r="K30" s="301"/>
      <c r="L30" s="367">
        <f>+I30</f>
        <v>7438899</v>
      </c>
      <c r="M30" s="302"/>
      <c r="N30" s="302"/>
      <c r="O30" s="309"/>
      <c r="P30" s="307"/>
      <c r="Q30" s="307"/>
      <c r="R30" s="368"/>
      <c r="S30" s="309"/>
      <c r="T30" s="309"/>
      <c r="U30" s="307"/>
      <c r="V30" s="307"/>
      <c r="W30" s="307"/>
      <c r="X30" s="307"/>
      <c r="Y30" s="307"/>
      <c r="Z30" s="307"/>
      <c r="AA30" s="307"/>
    </row>
    <row r="31" spans="1:27" s="389" customFormat="1" ht="29.25" customHeight="1">
      <c r="A31" s="376"/>
      <c r="B31" s="376"/>
      <c r="C31" s="377"/>
      <c r="D31" s="378"/>
      <c r="E31" s="313"/>
      <c r="F31" s="379"/>
      <c r="G31" s="380"/>
      <c r="H31" s="381"/>
      <c r="I31" s="382"/>
      <c r="J31" s="383"/>
      <c r="K31" s="346"/>
      <c r="L31" s="384"/>
      <c r="M31" s="385"/>
      <c r="N31" s="319"/>
      <c r="O31" s="386"/>
      <c r="P31" s="387"/>
      <c r="Q31" s="387"/>
      <c r="R31" s="388"/>
      <c r="S31" s="386"/>
      <c r="T31" s="386"/>
      <c r="U31" s="387"/>
      <c r="V31" s="387"/>
      <c r="W31" s="387"/>
      <c r="X31" s="387"/>
      <c r="Y31" s="387"/>
      <c r="Z31" s="387"/>
      <c r="AA31" s="387"/>
    </row>
    <row r="32" spans="1:27" s="292" customFormat="1" ht="80.099999999999994" customHeight="1">
      <c r="A32" s="279"/>
      <c r="B32" s="280"/>
      <c r="C32" s="280"/>
      <c r="D32" s="281">
        <v>3622645</v>
      </c>
      <c r="E32" s="282"/>
      <c r="F32" s="293" t="s">
        <v>91</v>
      </c>
      <c r="G32" s="294"/>
      <c r="H32" s="364" t="s">
        <v>74</v>
      </c>
      <c r="I32" s="365">
        <f>1737672+1616645</f>
        <v>3354317</v>
      </c>
      <c r="J32" s="366" t="s">
        <v>74</v>
      </c>
      <c r="K32" s="390"/>
      <c r="L32" s="391">
        <f>+I32</f>
        <v>3354317</v>
      </c>
      <c r="M32" s="288"/>
      <c r="N32" s="288"/>
      <c r="O32" s="289"/>
      <c r="P32" s="290"/>
      <c r="Q32" s="290"/>
      <c r="R32" s="368"/>
      <c r="S32" s="289"/>
      <c r="T32" s="289"/>
      <c r="U32" s="290"/>
      <c r="V32" s="290"/>
      <c r="W32" s="290"/>
      <c r="X32" s="290"/>
      <c r="Y32" s="290"/>
      <c r="Z32" s="290"/>
      <c r="AA32" s="290"/>
    </row>
    <row r="33" spans="1:27" s="292" customFormat="1" ht="80.099999999999994" customHeight="1">
      <c r="A33" s="392"/>
      <c r="B33" s="393"/>
      <c r="C33" s="394"/>
      <c r="D33" s="281">
        <v>155555</v>
      </c>
      <c r="E33" s="282"/>
      <c r="F33" s="293" t="s">
        <v>92</v>
      </c>
      <c r="G33" s="294"/>
      <c r="H33" s="364" t="s">
        <v>74</v>
      </c>
      <c r="I33" s="365">
        <v>214515</v>
      </c>
      <c r="J33" s="366" t="s">
        <v>74</v>
      </c>
      <c r="K33" s="390"/>
      <c r="L33" s="391">
        <f>+I33</f>
        <v>214515</v>
      </c>
      <c r="M33" s="395"/>
      <c r="N33" s="288"/>
      <c r="O33" s="289"/>
      <c r="P33" s="290"/>
      <c r="Q33" s="290"/>
      <c r="R33" s="368"/>
      <c r="S33" s="289"/>
      <c r="T33" s="289"/>
      <c r="U33" s="290"/>
      <c r="V33" s="290"/>
      <c r="W33" s="290"/>
      <c r="X33" s="290"/>
      <c r="Y33" s="290"/>
      <c r="Z33" s="290"/>
      <c r="AA33" s="290"/>
    </row>
    <row r="34" spans="1:27" s="292" customFormat="1" ht="80.099999999999994" customHeight="1">
      <c r="A34" s="392"/>
      <c r="B34" s="393"/>
      <c r="C34" s="394"/>
      <c r="D34" s="281">
        <v>100000</v>
      </c>
      <c r="E34" s="282"/>
      <c r="F34" s="293" t="s">
        <v>93</v>
      </c>
      <c r="G34" s="294"/>
      <c r="H34" s="364" t="s">
        <v>74</v>
      </c>
      <c r="I34" s="365">
        <v>100000</v>
      </c>
      <c r="J34" s="366" t="s">
        <v>74</v>
      </c>
      <c r="K34" s="390"/>
      <c r="L34" s="367">
        <f>SUM(H34:J34)</f>
        <v>100000</v>
      </c>
      <c r="M34" s="395"/>
      <c r="N34" s="288"/>
      <c r="O34" s="289"/>
      <c r="P34" s="290"/>
      <c r="Q34" s="290"/>
      <c r="R34" s="368"/>
      <c r="S34" s="289"/>
      <c r="T34" s="289"/>
      <c r="U34" s="290"/>
      <c r="V34" s="290"/>
      <c r="W34" s="290"/>
      <c r="X34" s="290"/>
      <c r="Y34" s="290"/>
      <c r="Z34" s="290"/>
      <c r="AA34" s="290"/>
    </row>
    <row r="35" spans="1:27" s="409" customFormat="1" ht="45" customHeight="1">
      <c r="A35" s="376"/>
      <c r="B35" s="376"/>
      <c r="C35" s="396"/>
      <c r="D35" s="397"/>
      <c r="E35" s="398"/>
      <c r="F35" s="399"/>
      <c r="G35" s="399"/>
      <c r="H35" s="400"/>
      <c r="I35" s="401"/>
      <c r="J35" s="402"/>
      <c r="K35" s="403"/>
      <c r="L35" s="404"/>
      <c r="M35" s="405"/>
      <c r="N35" s="319"/>
      <c r="O35" s="406"/>
      <c r="P35" s="407"/>
      <c r="Q35" s="407"/>
      <c r="R35" s="408"/>
      <c r="S35" s="406"/>
      <c r="T35" s="406"/>
      <c r="U35" s="407"/>
      <c r="V35" s="407"/>
      <c r="W35" s="407"/>
      <c r="X35" s="407"/>
      <c r="Y35" s="407"/>
      <c r="Z35" s="407"/>
      <c r="AA35" s="407"/>
    </row>
    <row r="36" spans="1:27" s="292" customFormat="1" ht="80.099999999999994" customHeight="1">
      <c r="A36" s="279"/>
      <c r="B36" s="280"/>
      <c r="C36" s="280"/>
      <c r="D36" s="281">
        <f>5700484+3000000</f>
        <v>8700484</v>
      </c>
      <c r="E36" s="282"/>
      <c r="F36" s="293" t="s">
        <v>94</v>
      </c>
      <c r="G36" s="294"/>
      <c r="H36" s="410">
        <v>9786083</v>
      </c>
      <c r="I36" s="411" t="s">
        <v>74</v>
      </c>
      <c r="J36" s="412">
        <v>0</v>
      </c>
      <c r="K36" s="390"/>
      <c r="L36" s="367">
        <f>SUM(H36:J36)</f>
        <v>9786083</v>
      </c>
      <c r="M36" s="288"/>
      <c r="N36" s="288"/>
      <c r="O36" s="289"/>
      <c r="P36" s="290"/>
      <c r="Q36" s="290"/>
      <c r="R36" s="368"/>
      <c r="S36" s="289"/>
      <c r="T36" s="289"/>
      <c r="U36" s="290"/>
      <c r="V36" s="290"/>
      <c r="W36" s="290"/>
      <c r="X36" s="290"/>
      <c r="Y36" s="290"/>
      <c r="Z36" s="290"/>
      <c r="AA36" s="290"/>
    </row>
    <row r="37" spans="1:27" s="292" customFormat="1" ht="80.099999999999994" customHeight="1">
      <c r="A37" s="279"/>
      <c r="B37" s="280"/>
      <c r="C37" s="280"/>
      <c r="D37" s="281">
        <v>250000</v>
      </c>
      <c r="E37" s="282"/>
      <c r="F37" s="293" t="s">
        <v>95</v>
      </c>
      <c r="G37" s="294"/>
      <c r="H37" s="364" t="s">
        <v>74</v>
      </c>
      <c r="I37" s="411" t="s">
        <v>74</v>
      </c>
      <c r="J37" s="412">
        <v>250000</v>
      </c>
      <c r="K37" s="390"/>
      <c r="L37" s="367">
        <f t="shared" ref="L37:L63" si="1">SUM(H37:J37)</f>
        <v>250000</v>
      </c>
      <c r="M37" s="288"/>
      <c r="N37" s="288"/>
      <c r="O37" s="289"/>
      <c r="P37" s="290"/>
      <c r="Q37" s="290"/>
      <c r="R37" s="368"/>
      <c r="S37" s="289"/>
      <c r="T37" s="289"/>
      <c r="U37" s="290"/>
      <c r="V37" s="290"/>
      <c r="W37" s="290"/>
      <c r="X37" s="290"/>
      <c r="Y37" s="290"/>
      <c r="Z37" s="290"/>
      <c r="AA37" s="290"/>
    </row>
    <row r="38" spans="1:27" s="292" customFormat="1" ht="80.099999999999994" customHeight="1">
      <c r="A38" s="279"/>
      <c r="B38" s="280"/>
      <c r="C38" s="280"/>
      <c r="D38" s="281">
        <v>380424</v>
      </c>
      <c r="E38" s="282"/>
      <c r="F38" s="293" t="s">
        <v>96</v>
      </c>
      <c r="G38" s="294"/>
      <c r="H38" s="364" t="s">
        <v>74</v>
      </c>
      <c r="I38" s="411" t="s">
        <v>74</v>
      </c>
      <c r="J38" s="412">
        <v>337006</v>
      </c>
      <c r="K38" s="390"/>
      <c r="L38" s="367">
        <f t="shared" si="1"/>
        <v>337006</v>
      </c>
      <c r="M38" s="288"/>
      <c r="N38" s="288"/>
      <c r="O38" s="289"/>
      <c r="P38" s="290"/>
      <c r="Q38" s="413"/>
      <c r="R38" s="368"/>
      <c r="S38" s="289"/>
      <c r="T38" s="289"/>
      <c r="U38" s="290"/>
      <c r="V38" s="290"/>
      <c r="W38" s="290"/>
      <c r="X38" s="290"/>
      <c r="Y38" s="290"/>
      <c r="Z38" s="290"/>
      <c r="AA38" s="290"/>
    </row>
    <row r="39" spans="1:27" s="292" customFormat="1" ht="80.099999999999994" customHeight="1">
      <c r="A39" s="279"/>
      <c r="B39" s="280"/>
      <c r="C39" s="280"/>
      <c r="D39" s="281">
        <v>138950</v>
      </c>
      <c r="E39" s="282"/>
      <c r="F39" s="293" t="s">
        <v>97</v>
      </c>
      <c r="G39" s="294"/>
      <c r="H39" s="364" t="s">
        <v>74</v>
      </c>
      <c r="I39" s="411" t="s">
        <v>74</v>
      </c>
      <c r="J39" s="412">
        <f>166805-150000+40000+230</f>
        <v>57035</v>
      </c>
      <c r="K39" s="390"/>
      <c r="L39" s="367">
        <f t="shared" si="1"/>
        <v>57035</v>
      </c>
      <c r="M39" s="288"/>
      <c r="N39" s="288"/>
      <c r="O39" s="289"/>
      <c r="P39" s="290"/>
      <c r="Q39" s="290"/>
      <c r="R39" s="368"/>
      <c r="S39" s="289"/>
      <c r="T39" s="289"/>
      <c r="U39" s="290"/>
      <c r="V39" s="290"/>
      <c r="W39" s="290"/>
      <c r="X39" s="290"/>
      <c r="Y39" s="290"/>
      <c r="Z39" s="290"/>
      <c r="AA39" s="290"/>
    </row>
    <row r="40" spans="1:27" s="292" customFormat="1" ht="80.099999999999994" customHeight="1">
      <c r="A40" s="279"/>
      <c r="B40" s="280"/>
      <c r="C40" s="280"/>
      <c r="D40" s="281">
        <v>4882.5</v>
      </c>
      <c r="E40" s="282"/>
      <c r="F40" s="293" t="s">
        <v>98</v>
      </c>
      <c r="G40" s="294"/>
      <c r="H40" s="364" t="s">
        <v>74</v>
      </c>
      <c r="I40" s="411" t="s">
        <v>74</v>
      </c>
      <c r="J40" s="412">
        <v>14217</v>
      </c>
      <c r="K40" s="390"/>
      <c r="L40" s="367">
        <f t="shared" si="1"/>
        <v>14217</v>
      </c>
      <c r="M40" s="288"/>
      <c r="N40" s="288"/>
      <c r="O40" s="289"/>
      <c r="P40" s="290"/>
      <c r="Q40" s="290"/>
      <c r="R40" s="368"/>
      <c r="S40" s="289"/>
      <c r="T40" s="289"/>
      <c r="U40" s="290"/>
      <c r="V40" s="290"/>
      <c r="W40" s="290"/>
      <c r="X40" s="290"/>
      <c r="Y40" s="290"/>
      <c r="Z40" s="290"/>
      <c r="AA40" s="290"/>
    </row>
    <row r="41" spans="1:27" s="292" customFormat="1" ht="80.099999999999994" customHeight="1">
      <c r="A41" s="279"/>
      <c r="B41" s="280"/>
      <c r="C41" s="280"/>
      <c r="D41" s="281">
        <v>110213</v>
      </c>
      <c r="E41" s="282"/>
      <c r="F41" s="293" t="s">
        <v>99</v>
      </c>
      <c r="G41" s="294"/>
      <c r="H41" s="364" t="s">
        <v>74</v>
      </c>
      <c r="I41" s="411" t="s">
        <v>74</v>
      </c>
      <c r="J41" s="412">
        <f>169553+540</f>
        <v>170093</v>
      </c>
      <c r="K41" s="390"/>
      <c r="L41" s="367">
        <f t="shared" si="1"/>
        <v>170093</v>
      </c>
      <c r="M41" s="288"/>
      <c r="N41" s="288"/>
      <c r="O41" s="289"/>
      <c r="P41" s="290"/>
      <c r="Q41" s="290"/>
      <c r="R41" s="368"/>
      <c r="S41" s="289"/>
      <c r="T41" s="289"/>
      <c r="U41" s="290"/>
      <c r="V41" s="290"/>
      <c r="W41" s="290"/>
      <c r="X41" s="290"/>
      <c r="Y41" s="290"/>
      <c r="Z41" s="290"/>
      <c r="AA41" s="290"/>
    </row>
    <row r="42" spans="1:27" s="292" customFormat="1" ht="80.099999999999994" customHeight="1">
      <c r="A42" s="279"/>
      <c r="B42" s="280"/>
      <c r="C42" s="280"/>
      <c r="D42" s="281">
        <v>0</v>
      </c>
      <c r="E42" s="282"/>
      <c r="F42" s="293" t="s">
        <v>100</v>
      </c>
      <c r="G42" s="294"/>
      <c r="H42" s="364" t="s">
        <v>74</v>
      </c>
      <c r="I42" s="411" t="s">
        <v>74</v>
      </c>
      <c r="J42" s="412">
        <v>32000</v>
      </c>
      <c r="K42" s="390"/>
      <c r="L42" s="367">
        <f t="shared" si="1"/>
        <v>32000</v>
      </c>
      <c r="M42" s="288"/>
      <c r="N42" s="288"/>
      <c r="O42" s="289"/>
      <c r="P42" s="290"/>
      <c r="Q42" s="290"/>
      <c r="R42" s="368"/>
      <c r="S42" s="289"/>
      <c r="T42" s="289"/>
      <c r="U42" s="290"/>
      <c r="V42" s="290"/>
      <c r="W42" s="290"/>
      <c r="X42" s="290"/>
      <c r="Y42" s="290"/>
      <c r="Z42" s="290"/>
      <c r="AA42" s="290"/>
    </row>
    <row r="43" spans="1:27" s="292" customFormat="1" ht="80.099999999999994" customHeight="1">
      <c r="A43" s="279"/>
      <c r="B43" s="280"/>
      <c r="C43" s="280"/>
      <c r="D43" s="281">
        <v>52729</v>
      </c>
      <c r="E43" s="282"/>
      <c r="F43" s="293" t="s">
        <v>101</v>
      </c>
      <c r="G43" s="294"/>
      <c r="H43" s="364" t="s">
        <v>74</v>
      </c>
      <c r="I43" s="411" t="s">
        <v>74</v>
      </c>
      <c r="J43" s="412">
        <f>169327+480</f>
        <v>169807</v>
      </c>
      <c r="K43" s="390"/>
      <c r="L43" s="367">
        <f t="shared" si="1"/>
        <v>169807</v>
      </c>
      <c r="M43" s="288"/>
      <c r="N43" s="288"/>
      <c r="O43" s="289"/>
      <c r="P43" s="290"/>
      <c r="Q43" s="290"/>
      <c r="R43" s="368"/>
      <c r="S43" s="289"/>
      <c r="T43" s="289"/>
      <c r="U43" s="290"/>
      <c r="V43" s="290"/>
      <c r="W43" s="290"/>
      <c r="X43" s="290"/>
      <c r="Y43" s="290"/>
      <c r="Z43" s="290"/>
      <c r="AA43" s="290"/>
    </row>
    <row r="44" spans="1:27" s="292" customFormat="1" ht="80.099999999999994" customHeight="1">
      <c r="A44" s="279"/>
      <c r="B44" s="280"/>
      <c r="C44" s="280"/>
      <c r="D44" s="281">
        <v>30000</v>
      </c>
      <c r="E44" s="282"/>
      <c r="F44" s="293" t="s">
        <v>102</v>
      </c>
      <c r="G44" s="294"/>
      <c r="H44" s="364" t="s">
        <v>74</v>
      </c>
      <c r="I44" s="411" t="s">
        <v>74</v>
      </c>
      <c r="J44" s="412">
        <f>3873+25000+865</f>
        <v>29738</v>
      </c>
      <c r="K44" s="390"/>
      <c r="L44" s="367">
        <f t="shared" si="1"/>
        <v>29738</v>
      </c>
      <c r="M44" s="288"/>
      <c r="N44" s="288"/>
      <c r="O44" s="289"/>
      <c r="P44" s="290"/>
      <c r="Q44" s="290"/>
      <c r="R44" s="368"/>
      <c r="S44" s="289"/>
      <c r="T44" s="289"/>
      <c r="U44" s="290"/>
      <c r="V44" s="290"/>
      <c r="W44" s="290"/>
      <c r="X44" s="290"/>
      <c r="Y44" s="290"/>
      <c r="Z44" s="290"/>
      <c r="AA44" s="290"/>
    </row>
    <row r="45" spans="1:27" s="292" customFormat="1" ht="80.099999999999994" customHeight="1">
      <c r="A45" s="279"/>
      <c r="B45" s="280"/>
      <c r="C45" s="280"/>
      <c r="D45" s="281">
        <v>636783</v>
      </c>
      <c r="E45" s="282"/>
      <c r="F45" s="293" t="s">
        <v>103</v>
      </c>
      <c r="G45" s="294"/>
      <c r="H45" s="364" t="s">
        <v>74</v>
      </c>
      <c r="I45" s="411" t="s">
        <v>74</v>
      </c>
      <c r="J45" s="412">
        <f>637544</f>
        <v>637544</v>
      </c>
      <c r="K45" s="390"/>
      <c r="L45" s="367">
        <f t="shared" si="1"/>
        <v>637544</v>
      </c>
      <c r="M45" s="288"/>
      <c r="N45" s="288"/>
      <c r="O45" s="289"/>
      <c r="P45" s="290"/>
      <c r="Q45" s="290"/>
      <c r="R45" s="368"/>
      <c r="S45" s="289"/>
      <c r="T45" s="289"/>
      <c r="U45" s="290"/>
      <c r="V45" s="290"/>
      <c r="W45" s="290"/>
      <c r="X45" s="290"/>
      <c r="Y45" s="290"/>
      <c r="Z45" s="290"/>
      <c r="AA45" s="290"/>
    </row>
    <row r="46" spans="1:27" s="292" customFormat="1" ht="80.099999999999994" customHeight="1">
      <c r="A46" s="279"/>
      <c r="B46" s="280"/>
      <c r="C46" s="280"/>
      <c r="D46" s="281">
        <v>300214</v>
      </c>
      <c r="E46" s="282"/>
      <c r="F46" s="293" t="s">
        <v>104</v>
      </c>
      <c r="G46" s="294"/>
      <c r="H46" s="364" t="s">
        <v>74</v>
      </c>
      <c r="I46" s="411" t="s">
        <v>74</v>
      </c>
      <c r="J46" s="412">
        <v>402454</v>
      </c>
      <c r="K46" s="390"/>
      <c r="L46" s="367">
        <f t="shared" si="1"/>
        <v>402454</v>
      </c>
      <c r="M46" s="288"/>
      <c r="N46" s="288"/>
      <c r="O46" s="289"/>
      <c r="P46" s="290"/>
      <c r="Q46" s="290"/>
      <c r="R46" s="368"/>
      <c r="S46" s="289"/>
      <c r="T46" s="289"/>
      <c r="U46" s="290"/>
      <c r="V46" s="290"/>
      <c r="W46" s="290"/>
      <c r="X46" s="290"/>
      <c r="Y46" s="290"/>
      <c r="Z46" s="290"/>
      <c r="AA46" s="290"/>
    </row>
    <row r="47" spans="1:27" s="292" customFormat="1" ht="80.099999999999994" customHeight="1">
      <c r="A47" s="279"/>
      <c r="B47" s="280"/>
      <c r="C47" s="280"/>
      <c r="D47" s="281">
        <v>369226</v>
      </c>
      <c r="E47" s="282"/>
      <c r="F47" s="293" t="s">
        <v>105</v>
      </c>
      <c r="G47" s="294"/>
      <c r="H47" s="364" t="s">
        <v>74</v>
      </c>
      <c r="I47" s="411" t="s">
        <v>74</v>
      </c>
      <c r="J47" s="412">
        <f>291776</f>
        <v>291776</v>
      </c>
      <c r="K47" s="390"/>
      <c r="L47" s="367">
        <f t="shared" si="1"/>
        <v>291776</v>
      </c>
      <c r="M47" s="288"/>
      <c r="N47" s="288"/>
      <c r="O47" s="289"/>
      <c r="P47" s="290"/>
      <c r="Q47" s="290"/>
      <c r="R47" s="368"/>
      <c r="S47" s="289"/>
      <c r="T47" s="289"/>
      <c r="U47" s="290"/>
      <c r="V47" s="290"/>
      <c r="W47" s="290"/>
      <c r="X47" s="290"/>
      <c r="Y47" s="290"/>
      <c r="Z47" s="290"/>
      <c r="AA47" s="290"/>
    </row>
    <row r="48" spans="1:27" s="292" customFormat="1" ht="80.099999999999994" customHeight="1">
      <c r="A48" s="279"/>
      <c r="B48" s="280"/>
      <c r="C48" s="280"/>
      <c r="D48" s="281">
        <v>147094</v>
      </c>
      <c r="E48" s="282"/>
      <c r="F48" s="293" t="s">
        <v>106</v>
      </c>
      <c r="G48" s="294"/>
      <c r="H48" s="364" t="s">
        <v>74</v>
      </c>
      <c r="I48" s="411" t="s">
        <v>74</v>
      </c>
      <c r="J48" s="412">
        <v>125125</v>
      </c>
      <c r="K48" s="390"/>
      <c r="L48" s="367">
        <f t="shared" si="1"/>
        <v>125125</v>
      </c>
      <c r="M48" s="288"/>
      <c r="N48" s="288"/>
      <c r="O48" s="289"/>
      <c r="P48" s="290"/>
      <c r="Q48" s="290"/>
      <c r="R48" s="368"/>
      <c r="S48" s="289"/>
      <c r="T48" s="289"/>
      <c r="U48" s="290"/>
      <c r="V48" s="290"/>
      <c r="W48" s="290"/>
      <c r="X48" s="290"/>
      <c r="Y48" s="290"/>
      <c r="Z48" s="290"/>
      <c r="AA48" s="290"/>
    </row>
    <row r="49" spans="1:27" s="292" customFormat="1" ht="80.099999999999994" customHeight="1">
      <c r="A49" s="279"/>
      <c r="B49" s="280"/>
      <c r="C49" s="280"/>
      <c r="D49" s="281">
        <v>3233191</v>
      </c>
      <c r="E49" s="282"/>
      <c r="F49" s="293" t="s">
        <v>107</v>
      </c>
      <c r="G49" s="294"/>
      <c r="H49" s="364" t="s">
        <v>74</v>
      </c>
      <c r="I49" s="411" t="s">
        <v>74</v>
      </c>
      <c r="J49" s="412">
        <v>3387631</v>
      </c>
      <c r="K49" s="390"/>
      <c r="L49" s="367">
        <f t="shared" si="1"/>
        <v>3387631</v>
      </c>
      <c r="M49" s="288"/>
      <c r="N49" s="288"/>
      <c r="O49" s="289"/>
      <c r="P49" s="290"/>
      <c r="Q49" s="290"/>
      <c r="R49" s="368"/>
      <c r="S49" s="289"/>
      <c r="T49" s="289"/>
      <c r="U49" s="290"/>
      <c r="V49" s="290"/>
      <c r="W49" s="290"/>
      <c r="X49" s="290"/>
      <c r="Y49" s="290"/>
      <c r="Z49" s="290"/>
      <c r="AA49" s="290"/>
    </row>
    <row r="50" spans="1:27" s="292" customFormat="1" ht="80.099999999999994" customHeight="1">
      <c r="A50" s="279"/>
      <c r="B50" s="280"/>
      <c r="C50" s="280"/>
      <c r="D50" s="281">
        <v>42121</v>
      </c>
      <c r="E50" s="282"/>
      <c r="F50" s="293" t="s">
        <v>108</v>
      </c>
      <c r="G50" s="294"/>
      <c r="H50" s="364" t="s">
        <v>74</v>
      </c>
      <c r="I50" s="411" t="s">
        <v>74</v>
      </c>
      <c r="J50" s="412">
        <v>66677</v>
      </c>
      <c r="K50" s="390"/>
      <c r="L50" s="367">
        <f t="shared" si="1"/>
        <v>66677</v>
      </c>
      <c r="M50" s="288"/>
      <c r="N50" s="288"/>
      <c r="O50" s="289"/>
      <c r="P50" s="290"/>
      <c r="Q50" s="290"/>
      <c r="R50" s="368"/>
      <c r="S50" s="289"/>
      <c r="T50" s="289"/>
      <c r="U50" s="290"/>
      <c r="V50" s="290"/>
      <c r="W50" s="290"/>
      <c r="X50" s="290"/>
      <c r="Y50" s="290"/>
      <c r="Z50" s="290"/>
      <c r="AA50" s="290"/>
    </row>
    <row r="51" spans="1:27" s="292" customFormat="1" ht="80.099999999999994" customHeight="1">
      <c r="A51" s="279"/>
      <c r="B51" s="280"/>
      <c r="C51" s="280"/>
      <c r="D51" s="281">
        <v>151792</v>
      </c>
      <c r="E51" s="282"/>
      <c r="F51" s="293" t="s">
        <v>109</v>
      </c>
      <c r="G51" s="294"/>
      <c r="H51" s="364" t="s">
        <v>74</v>
      </c>
      <c r="I51" s="411" t="s">
        <v>74</v>
      </c>
      <c r="J51" s="412">
        <v>211067</v>
      </c>
      <c r="K51" s="390"/>
      <c r="L51" s="367">
        <f t="shared" si="1"/>
        <v>211067</v>
      </c>
      <c r="M51" s="288"/>
      <c r="N51" s="288"/>
      <c r="O51" s="289"/>
      <c r="P51" s="290"/>
      <c r="Q51" s="290"/>
      <c r="R51" s="368"/>
      <c r="S51" s="289"/>
      <c r="T51" s="289"/>
      <c r="U51" s="290"/>
      <c r="V51" s="290"/>
      <c r="W51" s="290"/>
      <c r="X51" s="290"/>
      <c r="Y51" s="290"/>
      <c r="Z51" s="290"/>
      <c r="AA51" s="290"/>
    </row>
    <row r="52" spans="1:27" s="292" customFormat="1" ht="80.099999999999994" customHeight="1">
      <c r="A52" s="279"/>
      <c r="B52" s="280"/>
      <c r="C52" s="280"/>
      <c r="D52" s="281">
        <v>2522979</v>
      </c>
      <c r="E52" s="282"/>
      <c r="F52" s="293" t="s">
        <v>110</v>
      </c>
      <c r="G52" s="294"/>
      <c r="H52" s="364" t="s">
        <v>74</v>
      </c>
      <c r="I52" s="411" t="s">
        <v>74</v>
      </c>
      <c r="J52" s="412">
        <f>1481140+2000-228000</f>
        <v>1255140</v>
      </c>
      <c r="K52" s="390"/>
      <c r="L52" s="367">
        <f t="shared" si="1"/>
        <v>1255140</v>
      </c>
      <c r="M52" s="288"/>
      <c r="N52" s="288"/>
      <c r="O52" s="289"/>
      <c r="P52" s="290"/>
      <c r="Q52" s="290"/>
      <c r="R52" s="368"/>
      <c r="S52" s="289"/>
      <c r="T52" s="289"/>
      <c r="U52" s="290"/>
      <c r="V52" s="290"/>
      <c r="W52" s="290"/>
      <c r="X52" s="290"/>
      <c r="Y52" s="290"/>
      <c r="Z52" s="290"/>
      <c r="AA52" s="290"/>
    </row>
    <row r="53" spans="1:27" s="292" customFormat="1" ht="80.099999999999994" customHeight="1">
      <c r="A53" s="279"/>
      <c r="B53" s="280"/>
      <c r="C53" s="280"/>
      <c r="D53" s="281">
        <v>1003211</v>
      </c>
      <c r="E53" s="282"/>
      <c r="F53" s="293" t="s">
        <v>111</v>
      </c>
      <c r="G53" s="294"/>
      <c r="H53" s="364" t="s">
        <v>74</v>
      </c>
      <c r="I53" s="411" t="s">
        <v>74</v>
      </c>
      <c r="J53" s="412">
        <f>+'[1]S-10'!H113</f>
        <v>1809158</v>
      </c>
      <c r="K53" s="390"/>
      <c r="L53" s="367">
        <f t="shared" si="1"/>
        <v>1809158</v>
      </c>
      <c r="M53" s="288"/>
      <c r="N53" s="288"/>
      <c r="O53" s="289"/>
      <c r="P53" s="290"/>
      <c r="Q53" s="290"/>
      <c r="R53" s="368"/>
      <c r="S53" s="289"/>
      <c r="T53" s="289"/>
      <c r="U53" s="290"/>
      <c r="V53" s="290"/>
      <c r="W53" s="290"/>
      <c r="X53" s="290"/>
      <c r="Y53" s="290"/>
      <c r="Z53" s="290"/>
      <c r="AA53" s="290"/>
    </row>
    <row r="54" spans="1:27" s="292" customFormat="1" ht="80.099999999999994" customHeight="1">
      <c r="A54" s="279"/>
      <c r="B54" s="280"/>
      <c r="C54" s="280"/>
      <c r="D54" s="281">
        <v>319395</v>
      </c>
      <c r="E54" s="282"/>
      <c r="F54" s="293" t="s">
        <v>112</v>
      </c>
      <c r="G54" s="294"/>
      <c r="H54" s="364" t="s">
        <v>74</v>
      </c>
      <c r="I54" s="411" t="s">
        <v>74</v>
      </c>
      <c r="J54" s="412">
        <f>343845+3850-15426</f>
        <v>332269</v>
      </c>
      <c r="K54" s="390"/>
      <c r="L54" s="367">
        <f t="shared" si="1"/>
        <v>332269</v>
      </c>
      <c r="M54" s="288"/>
      <c r="N54" s="288"/>
      <c r="O54" s="289"/>
      <c r="P54" s="290"/>
      <c r="Q54" s="290"/>
      <c r="R54" s="368"/>
      <c r="S54" s="289"/>
      <c r="T54" s="289"/>
      <c r="U54" s="290"/>
      <c r="V54" s="290"/>
      <c r="W54" s="290"/>
      <c r="X54" s="290"/>
      <c r="Y54" s="290"/>
      <c r="Z54" s="290"/>
      <c r="AA54" s="290"/>
    </row>
    <row r="55" spans="1:27" s="292" customFormat="1" ht="80.099999999999994" customHeight="1">
      <c r="A55" s="279"/>
      <c r="B55" s="280"/>
      <c r="C55" s="280"/>
      <c r="D55" s="281">
        <v>286722</v>
      </c>
      <c r="E55" s="282"/>
      <c r="F55" s="293" t="s">
        <v>113</v>
      </c>
      <c r="G55" s="294"/>
      <c r="H55" s="364" t="s">
        <v>74</v>
      </c>
      <c r="I55" s="411" t="s">
        <v>74</v>
      </c>
      <c r="J55" s="412">
        <f>285391+70000</f>
        <v>355391</v>
      </c>
      <c r="K55" s="390"/>
      <c r="L55" s="367">
        <f t="shared" si="1"/>
        <v>355391</v>
      </c>
      <c r="M55" s="288"/>
      <c r="N55" s="288"/>
      <c r="O55" s="289"/>
      <c r="P55" s="290"/>
      <c r="Q55" s="290"/>
      <c r="R55" s="368"/>
      <c r="S55" s="289"/>
      <c r="T55" s="289"/>
      <c r="U55" s="290"/>
      <c r="V55" s="290"/>
      <c r="W55" s="290"/>
      <c r="X55" s="290"/>
      <c r="Y55" s="290"/>
      <c r="Z55" s="290"/>
      <c r="AA55" s="290"/>
    </row>
    <row r="56" spans="1:27" s="292" customFormat="1" ht="80.099999999999994" customHeight="1">
      <c r="A56" s="279"/>
      <c r="B56" s="280"/>
      <c r="C56" s="280"/>
      <c r="D56" s="281">
        <v>168958</v>
      </c>
      <c r="E56" s="282"/>
      <c r="F56" s="293" t="s">
        <v>114</v>
      </c>
      <c r="G56" s="294"/>
      <c r="H56" s="364" t="s">
        <v>74</v>
      </c>
      <c r="I56" s="411" t="s">
        <v>74</v>
      </c>
      <c r="J56" s="412">
        <v>193947</v>
      </c>
      <c r="K56" s="390"/>
      <c r="L56" s="367">
        <f t="shared" si="1"/>
        <v>193947</v>
      </c>
      <c r="M56" s="288"/>
      <c r="N56" s="288"/>
      <c r="O56" s="289"/>
      <c r="P56" s="290"/>
      <c r="Q56" s="290"/>
      <c r="R56" s="368"/>
      <c r="S56" s="289"/>
      <c r="T56" s="289"/>
      <c r="U56" s="290"/>
      <c r="V56" s="290"/>
      <c r="W56" s="290"/>
      <c r="X56" s="290"/>
      <c r="Y56" s="290"/>
      <c r="Z56" s="290"/>
      <c r="AA56" s="290"/>
    </row>
    <row r="57" spans="1:27" s="292" customFormat="1" ht="80.099999999999994" customHeight="1">
      <c r="A57" s="279"/>
      <c r="B57" s="280"/>
      <c r="C57" s="280"/>
      <c r="D57" s="281">
        <v>246292</v>
      </c>
      <c r="E57" s="282"/>
      <c r="F57" s="293" t="s">
        <v>115</v>
      </c>
      <c r="G57" s="294"/>
      <c r="H57" s="364" t="s">
        <v>74</v>
      </c>
      <c r="I57" s="411" t="s">
        <v>74</v>
      </c>
      <c r="J57" s="412">
        <f>221951+5500</f>
        <v>227451</v>
      </c>
      <c r="K57" s="390"/>
      <c r="L57" s="367">
        <f t="shared" si="1"/>
        <v>227451</v>
      </c>
      <c r="M57" s="288"/>
      <c r="N57" s="288"/>
      <c r="O57" s="289"/>
      <c r="P57" s="290"/>
      <c r="Q57" s="290"/>
      <c r="R57" s="368"/>
      <c r="S57" s="289"/>
      <c r="T57" s="289"/>
      <c r="U57" s="290"/>
      <c r="V57" s="290"/>
      <c r="W57" s="290"/>
      <c r="X57" s="290"/>
      <c r="Y57" s="290"/>
      <c r="Z57" s="290"/>
      <c r="AA57" s="290"/>
    </row>
    <row r="58" spans="1:27" s="292" customFormat="1" ht="80.099999999999994" customHeight="1">
      <c r="A58" s="279"/>
      <c r="B58" s="280"/>
      <c r="C58" s="280"/>
      <c r="D58" s="281">
        <v>550322</v>
      </c>
      <c r="E58" s="282"/>
      <c r="F58" s="293" t="s">
        <v>116</v>
      </c>
      <c r="G58" s="294"/>
      <c r="H58" s="364" t="s">
        <v>74</v>
      </c>
      <c r="I58" s="411" t="s">
        <v>74</v>
      </c>
      <c r="J58" s="412">
        <f>679361+790</f>
        <v>680151</v>
      </c>
      <c r="K58" s="390"/>
      <c r="L58" s="367">
        <f t="shared" si="1"/>
        <v>680151</v>
      </c>
      <c r="M58" s="288"/>
      <c r="N58" s="288"/>
      <c r="O58" s="289"/>
      <c r="P58" s="290"/>
      <c r="Q58" s="290"/>
      <c r="R58" s="368"/>
      <c r="S58" s="289"/>
      <c r="T58" s="289"/>
      <c r="U58" s="290"/>
      <c r="V58" s="290"/>
      <c r="W58" s="290"/>
      <c r="X58" s="290"/>
      <c r="Y58" s="290"/>
      <c r="Z58" s="290"/>
      <c r="AA58" s="290"/>
    </row>
    <row r="59" spans="1:27" s="292" customFormat="1" ht="80.099999999999994" customHeight="1">
      <c r="A59" s="279"/>
      <c r="B59" s="280"/>
      <c r="C59" s="280"/>
      <c r="D59" s="281">
        <v>422856</v>
      </c>
      <c r="E59" s="282"/>
      <c r="F59" s="293" t="s">
        <v>117</v>
      </c>
      <c r="G59" s="294"/>
      <c r="H59" s="364" t="s">
        <v>74</v>
      </c>
      <c r="I59" s="411" t="s">
        <v>74</v>
      </c>
      <c r="J59" s="412">
        <v>293098</v>
      </c>
      <c r="K59" s="390"/>
      <c r="L59" s="367">
        <f t="shared" si="1"/>
        <v>293098</v>
      </c>
      <c r="M59" s="288"/>
      <c r="N59" s="288"/>
      <c r="O59" s="289"/>
      <c r="P59" s="290"/>
      <c r="Q59" s="290"/>
      <c r="R59" s="368"/>
      <c r="S59" s="289"/>
      <c r="T59" s="289"/>
      <c r="U59" s="290"/>
      <c r="V59" s="290"/>
      <c r="W59" s="290"/>
      <c r="X59" s="290"/>
      <c r="Y59" s="290"/>
      <c r="Z59" s="290"/>
      <c r="AA59" s="290"/>
    </row>
    <row r="60" spans="1:27" s="292" customFormat="1" ht="80.099999999999994" customHeight="1">
      <c r="A60" s="279"/>
      <c r="B60" s="280"/>
      <c r="C60" s="280"/>
      <c r="D60" s="281">
        <v>62150</v>
      </c>
      <c r="E60" s="282"/>
      <c r="F60" s="293" t="s">
        <v>118</v>
      </c>
      <c r="G60" s="294"/>
      <c r="H60" s="364" t="s">
        <v>74</v>
      </c>
      <c r="I60" s="411" t="s">
        <v>74</v>
      </c>
      <c r="J60" s="412">
        <v>29368</v>
      </c>
      <c r="K60" s="390"/>
      <c r="L60" s="367">
        <f t="shared" si="1"/>
        <v>29368</v>
      </c>
      <c r="M60" s="288"/>
      <c r="N60" s="288"/>
      <c r="O60" s="289"/>
      <c r="P60" s="290"/>
      <c r="Q60" s="290"/>
      <c r="R60" s="368"/>
      <c r="S60" s="289"/>
      <c r="T60" s="289"/>
      <c r="U60" s="290"/>
      <c r="V60" s="290"/>
      <c r="W60" s="290"/>
      <c r="X60" s="290"/>
      <c r="Y60" s="290"/>
      <c r="Z60" s="290"/>
      <c r="AA60" s="290"/>
    </row>
    <row r="61" spans="1:27" s="292" customFormat="1" ht="80.099999999999994" customHeight="1">
      <c r="A61" s="279"/>
      <c r="B61" s="280"/>
      <c r="C61" s="280"/>
      <c r="D61" s="281">
        <v>42000</v>
      </c>
      <c r="E61" s="282"/>
      <c r="F61" s="293" t="s">
        <v>119</v>
      </c>
      <c r="G61" s="294"/>
      <c r="H61" s="364" t="s">
        <v>74</v>
      </c>
      <c r="I61" s="411" t="s">
        <v>74</v>
      </c>
      <c r="J61" s="412">
        <v>42000</v>
      </c>
      <c r="K61" s="390"/>
      <c r="L61" s="367">
        <f t="shared" si="1"/>
        <v>42000</v>
      </c>
      <c r="M61" s="288"/>
      <c r="N61" s="288"/>
      <c r="O61" s="289"/>
      <c r="P61" s="290"/>
      <c r="Q61" s="290"/>
      <c r="R61" s="368"/>
      <c r="S61" s="289"/>
      <c r="T61" s="289"/>
      <c r="U61" s="290"/>
      <c r="V61" s="290"/>
      <c r="W61" s="290"/>
      <c r="X61" s="290"/>
      <c r="Y61" s="290"/>
      <c r="Z61" s="290"/>
      <c r="AA61" s="290"/>
    </row>
    <row r="62" spans="1:27" s="292" customFormat="1" ht="80.099999999999994" customHeight="1">
      <c r="A62" s="279"/>
      <c r="B62" s="280"/>
      <c r="C62" s="280"/>
      <c r="D62" s="281">
        <v>192428</v>
      </c>
      <c r="E62" s="282"/>
      <c r="F62" s="293" t="s">
        <v>120</v>
      </c>
      <c r="G62" s="294"/>
      <c r="H62" s="364" t="s">
        <v>74</v>
      </c>
      <c r="I62" s="411" t="s">
        <v>74</v>
      </c>
      <c r="J62" s="412">
        <v>321003</v>
      </c>
      <c r="K62" s="390"/>
      <c r="L62" s="367">
        <f t="shared" si="1"/>
        <v>321003</v>
      </c>
      <c r="M62" s="288"/>
      <c r="N62" s="288"/>
      <c r="O62" s="289"/>
      <c r="P62" s="290"/>
      <c r="Q62" s="290"/>
      <c r="R62" s="368"/>
      <c r="S62" s="289"/>
      <c r="T62" s="289"/>
      <c r="U62" s="290"/>
      <c r="V62" s="290"/>
      <c r="W62" s="290"/>
      <c r="X62" s="290"/>
      <c r="Y62" s="290"/>
      <c r="Z62" s="290"/>
      <c r="AA62" s="290"/>
    </row>
    <row r="63" spans="1:27" s="292" customFormat="1" ht="80.099999999999994" customHeight="1">
      <c r="A63" s="279"/>
      <c r="B63" s="280"/>
      <c r="C63" s="280"/>
      <c r="D63" s="281">
        <v>140540</v>
      </c>
      <c r="E63" s="282"/>
      <c r="F63" s="293" t="s">
        <v>121</v>
      </c>
      <c r="G63" s="294"/>
      <c r="H63" s="364" t="s">
        <v>74</v>
      </c>
      <c r="I63" s="411" t="s">
        <v>74</v>
      </c>
      <c r="J63" s="412">
        <v>159967</v>
      </c>
      <c r="K63" s="390"/>
      <c r="L63" s="367">
        <f t="shared" si="1"/>
        <v>159967</v>
      </c>
      <c r="M63" s="288"/>
      <c r="N63" s="288"/>
      <c r="O63" s="289"/>
      <c r="P63" s="290"/>
      <c r="Q63" s="290"/>
      <c r="R63" s="368"/>
      <c r="S63" s="289"/>
      <c r="T63" s="289"/>
      <c r="U63" s="290"/>
      <c r="V63" s="290"/>
      <c r="W63" s="290"/>
      <c r="X63" s="290"/>
      <c r="Y63" s="290"/>
      <c r="Z63" s="290"/>
      <c r="AA63" s="290"/>
    </row>
    <row r="64" spans="1:27" s="421" customFormat="1" ht="29.25" customHeight="1" thickBot="1">
      <c r="A64" s="392"/>
      <c r="B64" s="392"/>
      <c r="C64" s="394"/>
      <c r="D64" s="414"/>
      <c r="E64" s="282"/>
      <c r="F64" s="294"/>
      <c r="G64" s="294"/>
      <c r="H64" s="415"/>
      <c r="I64" s="415"/>
      <c r="J64" s="416"/>
      <c r="K64" s="390"/>
      <c r="L64" s="417"/>
      <c r="M64" s="288"/>
      <c r="N64" s="418"/>
      <c r="O64" s="298"/>
      <c r="P64" s="419"/>
      <c r="Q64" s="419"/>
      <c r="R64" s="420"/>
      <c r="S64" s="298"/>
      <c r="T64" s="298"/>
      <c r="U64" s="419"/>
      <c r="V64" s="419"/>
      <c r="W64" s="419"/>
      <c r="X64" s="419"/>
      <c r="Y64" s="419"/>
      <c r="Z64" s="419"/>
      <c r="AA64" s="419"/>
    </row>
    <row r="65" spans="1:27" s="421" customFormat="1" ht="15" customHeight="1" thickTop="1" thickBot="1">
      <c r="A65" s="392"/>
      <c r="B65" s="422"/>
      <c r="C65" s="423"/>
      <c r="D65" s="424"/>
      <c r="E65" s="425"/>
      <c r="F65" s="426"/>
      <c r="G65" s="426"/>
      <c r="H65" s="427"/>
      <c r="I65" s="427"/>
      <c r="J65" s="428"/>
      <c r="K65" s="429"/>
      <c r="L65" s="430"/>
      <c r="M65" s="431"/>
      <c r="N65" s="432"/>
      <c r="O65" s="298"/>
      <c r="P65" s="419"/>
      <c r="Q65" s="419"/>
      <c r="R65" s="420"/>
      <c r="S65" s="298"/>
      <c r="T65" s="298"/>
      <c r="U65" s="419"/>
      <c r="V65" s="419"/>
      <c r="W65" s="419"/>
      <c r="X65" s="419"/>
      <c r="Y65" s="419"/>
      <c r="Z65" s="419"/>
      <c r="AA65" s="419"/>
    </row>
    <row r="66" spans="1:27" s="421" customFormat="1" ht="20.25" customHeight="1" thickTop="1">
      <c r="A66" s="394"/>
      <c r="B66" s="394"/>
      <c r="C66" s="394"/>
      <c r="D66" s="414"/>
      <c r="E66" s="282"/>
      <c r="F66" s="294"/>
      <c r="G66" s="294"/>
      <c r="H66" s="415"/>
      <c r="I66" s="415"/>
      <c r="J66" s="416"/>
      <c r="K66" s="390"/>
      <c r="L66" s="417"/>
      <c r="M66" s="298"/>
      <c r="N66" s="298"/>
      <c r="O66" s="298"/>
      <c r="P66" s="419"/>
      <c r="Q66" s="419"/>
      <c r="R66" s="420"/>
      <c r="S66" s="298"/>
      <c r="T66" s="298"/>
      <c r="U66" s="419"/>
      <c r="V66" s="419"/>
      <c r="W66" s="419"/>
      <c r="X66" s="419"/>
      <c r="Y66" s="419"/>
      <c r="Z66" s="419"/>
      <c r="AA66" s="419"/>
    </row>
    <row r="67" spans="1:27" s="421" customFormat="1" ht="23.25" customHeight="1" thickBot="1">
      <c r="A67" s="394"/>
      <c r="B67" s="394"/>
      <c r="C67" s="394"/>
      <c r="D67" s="414"/>
      <c r="E67" s="282"/>
      <c r="F67" s="294"/>
      <c r="G67" s="294"/>
      <c r="H67" s="415"/>
      <c r="I67" s="415"/>
      <c r="J67" s="416"/>
      <c r="K67" s="390"/>
      <c r="L67" s="417"/>
      <c r="M67" s="298"/>
      <c r="N67" s="298"/>
      <c r="O67" s="298"/>
      <c r="P67" s="419"/>
      <c r="Q67" s="419"/>
      <c r="R67" s="420"/>
      <c r="S67" s="298"/>
      <c r="T67" s="298"/>
      <c r="U67" s="419"/>
      <c r="V67" s="419"/>
      <c r="W67" s="419"/>
      <c r="X67" s="419"/>
      <c r="Y67" s="419"/>
      <c r="Z67" s="419"/>
      <c r="AA67" s="419"/>
    </row>
    <row r="68" spans="1:27" s="421" customFormat="1" ht="16.5" customHeight="1" thickTop="1" thickBot="1">
      <c r="A68" s="392"/>
      <c r="B68" s="422"/>
      <c r="C68" s="423"/>
      <c r="D68" s="424"/>
      <c r="E68" s="425"/>
      <c r="F68" s="426"/>
      <c r="G68" s="426"/>
      <c r="H68" s="427"/>
      <c r="I68" s="427"/>
      <c r="J68" s="428"/>
      <c r="K68" s="429"/>
      <c r="L68" s="430"/>
      <c r="M68" s="431"/>
      <c r="N68" s="432"/>
      <c r="O68" s="298"/>
      <c r="P68" s="419"/>
      <c r="Q68" s="419"/>
      <c r="R68" s="420"/>
      <c r="S68" s="298"/>
      <c r="T68" s="298"/>
      <c r="U68" s="419"/>
      <c r="V68" s="419"/>
      <c r="W68" s="419"/>
      <c r="X68" s="419"/>
      <c r="Y68" s="419"/>
      <c r="Z68" s="419"/>
      <c r="AA68" s="419"/>
    </row>
    <row r="69" spans="1:27" s="421" customFormat="1" ht="23.25" customHeight="1" thickTop="1">
      <c r="A69" s="392"/>
      <c r="B69" s="393"/>
      <c r="C69" s="394"/>
      <c r="D69" s="414"/>
      <c r="E69" s="282"/>
      <c r="F69" s="294"/>
      <c r="G69" s="294"/>
      <c r="H69" s="415"/>
      <c r="I69" s="415"/>
      <c r="J69" s="416"/>
      <c r="K69" s="390"/>
      <c r="L69" s="417"/>
      <c r="M69" s="288"/>
      <c r="N69" s="418"/>
      <c r="O69" s="298"/>
      <c r="P69" s="419"/>
      <c r="Q69" s="419"/>
      <c r="R69" s="420"/>
      <c r="S69" s="298"/>
      <c r="T69" s="298"/>
      <c r="U69" s="419"/>
      <c r="V69" s="419"/>
      <c r="W69" s="419"/>
      <c r="X69" s="419"/>
      <c r="Y69" s="419"/>
      <c r="Z69" s="419"/>
      <c r="AA69" s="419"/>
    </row>
    <row r="70" spans="1:27" s="421" customFormat="1" ht="145.5" customHeight="1" thickBot="1">
      <c r="A70" s="392"/>
      <c r="B70" s="393"/>
      <c r="C70" s="394"/>
      <c r="D70" s="433" t="s">
        <v>67</v>
      </c>
      <c r="E70" s="282"/>
      <c r="F70" s="294"/>
      <c r="G70" s="294"/>
      <c r="H70" s="248" t="s">
        <v>68</v>
      </c>
      <c r="I70" s="248" t="s">
        <v>69</v>
      </c>
      <c r="J70" s="248" t="s">
        <v>70</v>
      </c>
      <c r="K70" s="250"/>
      <c r="L70" s="248" t="s">
        <v>71</v>
      </c>
      <c r="M70" s="288"/>
      <c r="N70" s="418"/>
      <c r="O70" s="298"/>
      <c r="P70" s="419"/>
      <c r="Q70" s="419"/>
      <c r="R70" s="420"/>
      <c r="S70" s="298"/>
      <c r="T70" s="298"/>
      <c r="U70" s="419"/>
      <c r="V70" s="419"/>
      <c r="W70" s="419"/>
      <c r="X70" s="419"/>
      <c r="Y70" s="419"/>
      <c r="Z70" s="419"/>
      <c r="AA70" s="419"/>
    </row>
    <row r="71" spans="1:27" s="421" customFormat="1" ht="12" customHeight="1">
      <c r="A71" s="392"/>
      <c r="B71" s="393"/>
      <c r="C71" s="394"/>
      <c r="D71" s="434"/>
      <c r="E71" s="282"/>
      <c r="F71" s="294"/>
      <c r="G71" s="294"/>
      <c r="H71" s="250"/>
      <c r="I71" s="250"/>
      <c r="J71" s="250"/>
      <c r="K71" s="250"/>
      <c r="L71" s="250"/>
      <c r="M71" s="288"/>
      <c r="N71" s="418"/>
      <c r="O71" s="298"/>
      <c r="P71" s="419"/>
      <c r="Q71" s="419"/>
      <c r="R71" s="420"/>
      <c r="S71" s="298"/>
      <c r="T71" s="298"/>
      <c r="U71" s="419"/>
      <c r="V71" s="419"/>
      <c r="W71" s="419"/>
      <c r="X71" s="419"/>
      <c r="Y71" s="419"/>
      <c r="Z71" s="419"/>
      <c r="AA71" s="419"/>
    </row>
    <row r="72" spans="1:27" s="421" customFormat="1" ht="99.95" customHeight="1">
      <c r="A72" s="392"/>
      <c r="B72" s="393"/>
      <c r="C72" s="394"/>
      <c r="D72" s="260" t="s">
        <v>6</v>
      </c>
      <c r="E72" s="348"/>
      <c r="F72" s="262" t="s">
        <v>85</v>
      </c>
      <c r="G72" s="349"/>
      <c r="H72" s="260" t="s">
        <v>6</v>
      </c>
      <c r="I72" s="260" t="s">
        <v>6</v>
      </c>
      <c r="J72" s="435" t="s">
        <v>6</v>
      </c>
      <c r="K72" s="264"/>
      <c r="L72" s="260" t="s">
        <v>6</v>
      </c>
      <c r="M72" s="288"/>
      <c r="N72" s="418"/>
      <c r="O72" s="298"/>
      <c r="P72" s="419"/>
      <c r="Q72" s="419"/>
      <c r="R72" s="420"/>
      <c r="S72" s="298"/>
      <c r="T72" s="298"/>
      <c r="U72" s="419"/>
      <c r="V72" s="419"/>
      <c r="W72" s="419"/>
      <c r="X72" s="419"/>
      <c r="Y72" s="419"/>
      <c r="Z72" s="419"/>
      <c r="AA72" s="419"/>
    </row>
    <row r="73" spans="1:27" s="421" customFormat="1" ht="18" customHeight="1">
      <c r="A73" s="392"/>
      <c r="B73" s="393"/>
      <c r="C73" s="394"/>
      <c r="D73" s="436"/>
      <c r="E73" s="282"/>
      <c r="F73" s="294"/>
      <c r="G73" s="294"/>
      <c r="H73" s="415"/>
      <c r="I73" s="415"/>
      <c r="J73" s="416"/>
      <c r="K73" s="390"/>
      <c r="L73" s="417"/>
      <c r="M73" s="288"/>
      <c r="N73" s="418"/>
      <c r="O73" s="298"/>
      <c r="P73" s="419"/>
      <c r="Q73" s="419"/>
      <c r="R73" s="420"/>
      <c r="S73" s="298"/>
      <c r="T73" s="298"/>
      <c r="U73" s="419"/>
      <c r="V73" s="419"/>
      <c r="W73" s="419"/>
      <c r="X73" s="419"/>
      <c r="Y73" s="419"/>
      <c r="Z73" s="419"/>
      <c r="AA73" s="419"/>
    </row>
    <row r="74" spans="1:27" s="421" customFormat="1" ht="80.099999999999994" customHeight="1">
      <c r="A74" s="392"/>
      <c r="B74" s="394"/>
      <c r="C74" s="394"/>
      <c r="D74" s="281">
        <v>117600</v>
      </c>
      <c r="E74" s="282"/>
      <c r="F74" s="293" t="s">
        <v>122</v>
      </c>
      <c r="G74" s="294"/>
      <c r="H74" s="364" t="s">
        <v>74</v>
      </c>
      <c r="I74" s="411" t="s">
        <v>74</v>
      </c>
      <c r="J74" s="412">
        <f>4110+56898+1888+40000+30000</f>
        <v>132896</v>
      </c>
      <c r="K74" s="390"/>
      <c r="L74" s="367">
        <f>SUM(H74:J74)</f>
        <v>132896</v>
      </c>
      <c r="M74" s="288"/>
      <c r="N74" s="288"/>
      <c r="O74" s="298"/>
      <c r="P74" s="419"/>
      <c r="Q74" s="419"/>
      <c r="R74" s="420"/>
      <c r="S74" s="298"/>
      <c r="T74" s="298"/>
      <c r="U74" s="419"/>
      <c r="V74" s="419"/>
      <c r="W74" s="419"/>
      <c r="X74" s="419"/>
      <c r="Y74" s="419"/>
      <c r="Z74" s="419"/>
      <c r="AA74" s="419"/>
    </row>
    <row r="75" spans="1:27" s="292" customFormat="1" ht="80.099999999999994" customHeight="1">
      <c r="A75" s="392"/>
      <c r="B75" s="394"/>
      <c r="C75" s="280"/>
      <c r="D75" s="281">
        <v>166801</v>
      </c>
      <c r="E75" s="282"/>
      <c r="F75" s="293" t="s">
        <v>123</v>
      </c>
      <c r="G75" s="294"/>
      <c r="H75" s="364" t="s">
        <v>74</v>
      </c>
      <c r="I75" s="411" t="s">
        <v>74</v>
      </c>
      <c r="J75" s="412">
        <f>338017+17000</f>
        <v>355017</v>
      </c>
      <c r="K75" s="390"/>
      <c r="L75" s="367">
        <f>SUM(H75:J75)</f>
        <v>355017</v>
      </c>
      <c r="M75" s="288"/>
      <c r="N75" s="288"/>
      <c r="O75" s="289"/>
      <c r="P75" s="290"/>
      <c r="Q75" s="290"/>
      <c r="R75" s="368"/>
      <c r="S75" s="289"/>
      <c r="T75" s="289"/>
      <c r="U75" s="290"/>
      <c r="V75" s="290"/>
      <c r="W75" s="290"/>
      <c r="X75" s="290"/>
      <c r="Y75" s="290"/>
      <c r="Z75" s="290"/>
      <c r="AA75" s="290"/>
    </row>
    <row r="76" spans="1:27" s="292" customFormat="1" ht="80.099999999999994" customHeight="1">
      <c r="A76" s="392"/>
      <c r="B76" s="394"/>
      <c r="C76" s="280"/>
      <c r="D76" s="281">
        <v>781969</v>
      </c>
      <c r="E76" s="282"/>
      <c r="F76" s="293" t="s">
        <v>124</v>
      </c>
      <c r="G76" s="294"/>
      <c r="H76" s="364" t="s">
        <v>74</v>
      </c>
      <c r="I76" s="411" t="s">
        <v>74</v>
      </c>
      <c r="J76" s="412">
        <v>631167</v>
      </c>
      <c r="K76" s="390"/>
      <c r="L76" s="367">
        <f t="shared" ref="L76:L101" si="2">SUM(H76:J76)</f>
        <v>631167</v>
      </c>
      <c r="M76" s="288"/>
      <c r="N76" s="288"/>
      <c r="O76" s="289"/>
      <c r="P76" s="290"/>
      <c r="Q76" s="290"/>
      <c r="R76" s="368"/>
      <c r="S76" s="289"/>
      <c r="T76" s="289"/>
      <c r="U76" s="290"/>
      <c r="V76" s="290"/>
      <c r="W76" s="290"/>
      <c r="X76" s="290"/>
      <c r="Y76" s="290"/>
      <c r="Z76" s="290"/>
      <c r="AA76" s="290"/>
    </row>
    <row r="77" spans="1:27" s="292" customFormat="1" ht="80.099999999999994" customHeight="1">
      <c r="A77" s="392"/>
      <c r="B77" s="394"/>
      <c r="C77" s="280"/>
      <c r="D77" s="281">
        <v>456283</v>
      </c>
      <c r="E77" s="282"/>
      <c r="F77" s="437" t="s">
        <v>125</v>
      </c>
      <c r="G77" s="438"/>
      <c r="H77" s="364" t="s">
        <v>74</v>
      </c>
      <c r="I77" s="411" t="s">
        <v>74</v>
      </c>
      <c r="J77" s="412">
        <v>271882</v>
      </c>
      <c r="K77" s="390"/>
      <c r="L77" s="367">
        <f t="shared" si="2"/>
        <v>271882</v>
      </c>
      <c r="M77" s="288"/>
      <c r="N77" s="288"/>
      <c r="O77" s="289"/>
      <c r="P77" s="290"/>
      <c r="Q77" s="290"/>
      <c r="R77" s="368"/>
      <c r="S77" s="289"/>
      <c r="T77" s="289"/>
      <c r="U77" s="290"/>
      <c r="V77" s="290"/>
      <c r="W77" s="290"/>
      <c r="X77" s="290"/>
      <c r="Y77" s="290"/>
      <c r="Z77" s="290"/>
      <c r="AA77" s="290"/>
    </row>
    <row r="78" spans="1:27" s="292" customFormat="1" ht="80.099999999999994" customHeight="1">
      <c r="A78" s="392"/>
      <c r="B78" s="394"/>
      <c r="C78" s="280"/>
      <c r="D78" s="281">
        <v>0</v>
      </c>
      <c r="E78" s="282"/>
      <c r="F78" s="437" t="s">
        <v>126</v>
      </c>
      <c r="G78" s="438"/>
      <c r="H78" s="364"/>
      <c r="I78" s="411"/>
      <c r="J78" s="412">
        <f>187437+15426-10000</f>
        <v>192863</v>
      </c>
      <c r="K78" s="390"/>
      <c r="L78" s="367">
        <f t="shared" si="2"/>
        <v>192863</v>
      </c>
      <c r="M78" s="288"/>
      <c r="N78" s="288"/>
      <c r="O78" s="289"/>
      <c r="P78" s="290"/>
      <c r="Q78" s="290"/>
      <c r="R78" s="368"/>
      <c r="S78" s="289"/>
      <c r="T78" s="289"/>
      <c r="U78" s="290"/>
      <c r="V78" s="290"/>
      <c r="W78" s="290"/>
      <c r="X78" s="290"/>
      <c r="Y78" s="290"/>
      <c r="Z78" s="290"/>
      <c r="AA78" s="290"/>
    </row>
    <row r="79" spans="1:27" s="292" customFormat="1" ht="80.099999999999994" customHeight="1">
      <c r="A79" s="392"/>
      <c r="B79" s="394"/>
      <c r="C79" s="280"/>
      <c r="D79" s="281">
        <v>192519</v>
      </c>
      <c r="E79" s="282"/>
      <c r="F79" s="293" t="s">
        <v>127</v>
      </c>
      <c r="G79" s="294"/>
      <c r="H79" s="364" t="s">
        <v>74</v>
      </c>
      <c r="I79" s="411" t="s">
        <v>74</v>
      </c>
      <c r="J79" s="412">
        <v>252136</v>
      </c>
      <c r="K79" s="390"/>
      <c r="L79" s="367">
        <f t="shared" si="2"/>
        <v>252136</v>
      </c>
      <c r="M79" s="288"/>
      <c r="N79" s="288"/>
      <c r="O79" s="289"/>
      <c r="P79" s="290"/>
      <c r="Q79" s="290"/>
      <c r="R79" s="368"/>
      <c r="S79" s="289"/>
      <c r="T79" s="289"/>
      <c r="U79" s="290"/>
      <c r="V79" s="290"/>
      <c r="W79" s="290"/>
      <c r="X79" s="290"/>
      <c r="Y79" s="290"/>
      <c r="Z79" s="290"/>
      <c r="AA79" s="290"/>
    </row>
    <row r="80" spans="1:27" s="292" customFormat="1" ht="80.099999999999994" customHeight="1">
      <c r="A80" s="392"/>
      <c r="B80" s="394"/>
      <c r="C80" s="280"/>
      <c r="D80" s="281">
        <v>7500</v>
      </c>
      <c r="E80" s="282"/>
      <c r="F80" s="293" t="s">
        <v>128</v>
      </c>
      <c r="G80" s="294"/>
      <c r="H80" s="364" t="s">
        <v>74</v>
      </c>
      <c r="I80" s="411" t="s">
        <v>74</v>
      </c>
      <c r="J80" s="412">
        <v>2500</v>
      </c>
      <c r="K80" s="390"/>
      <c r="L80" s="367">
        <f t="shared" si="2"/>
        <v>2500</v>
      </c>
      <c r="M80" s="288"/>
      <c r="N80" s="288"/>
      <c r="O80" s="289"/>
      <c r="P80" s="290"/>
      <c r="Q80" s="290"/>
      <c r="R80" s="368"/>
      <c r="S80" s="289"/>
      <c r="T80" s="289"/>
      <c r="U80" s="290"/>
      <c r="V80" s="290"/>
      <c r="W80" s="290"/>
      <c r="X80" s="290"/>
      <c r="Y80" s="290"/>
      <c r="Z80" s="290"/>
      <c r="AA80" s="290"/>
    </row>
    <row r="81" spans="1:27" s="292" customFormat="1" ht="80.099999999999994" customHeight="1">
      <c r="A81" s="392"/>
      <c r="B81" s="394"/>
      <c r="C81" s="280"/>
      <c r="D81" s="281">
        <v>348232</v>
      </c>
      <c r="E81" s="282"/>
      <c r="F81" s="293" t="s">
        <v>129</v>
      </c>
      <c r="G81" s="294"/>
      <c r="H81" s="364" t="s">
        <v>74</v>
      </c>
      <c r="I81" s="411" t="s">
        <v>74</v>
      </c>
      <c r="J81" s="412">
        <v>269827</v>
      </c>
      <c r="K81" s="390"/>
      <c r="L81" s="367">
        <f t="shared" si="2"/>
        <v>269827</v>
      </c>
      <c r="M81" s="288"/>
      <c r="N81" s="288"/>
      <c r="O81" s="289"/>
      <c r="P81" s="290"/>
      <c r="Q81" s="290"/>
      <c r="R81" s="368"/>
      <c r="S81" s="289"/>
      <c r="T81" s="289"/>
      <c r="U81" s="290"/>
      <c r="V81" s="290"/>
      <c r="W81" s="290"/>
      <c r="X81" s="290"/>
      <c r="Y81" s="290"/>
      <c r="Z81" s="290"/>
      <c r="AA81" s="290"/>
    </row>
    <row r="82" spans="1:27" s="292" customFormat="1" ht="80.099999999999994" customHeight="1">
      <c r="A82" s="392"/>
      <c r="B82" s="394"/>
      <c r="C82" s="280"/>
      <c r="D82" s="281">
        <v>89023</v>
      </c>
      <c r="E82" s="282"/>
      <c r="F82" s="293" t="s">
        <v>130</v>
      </c>
      <c r="G82" s="294"/>
      <c r="H82" s="364" t="s">
        <v>74</v>
      </c>
      <c r="I82" s="411" t="s">
        <v>74</v>
      </c>
      <c r="J82" s="412">
        <v>191419</v>
      </c>
      <c r="K82" s="390"/>
      <c r="L82" s="367">
        <f t="shared" si="2"/>
        <v>191419</v>
      </c>
      <c r="M82" s="288"/>
      <c r="N82" s="288"/>
      <c r="O82" s="289"/>
      <c r="P82" s="290"/>
      <c r="Q82" s="290"/>
      <c r="R82" s="368"/>
      <c r="S82" s="289"/>
      <c r="T82" s="289"/>
      <c r="U82" s="290"/>
      <c r="V82" s="290"/>
      <c r="W82" s="290"/>
      <c r="X82" s="290"/>
      <c r="Y82" s="290"/>
      <c r="Z82" s="290"/>
      <c r="AA82" s="290"/>
    </row>
    <row r="83" spans="1:27" s="292" customFormat="1" ht="80.099999999999994" customHeight="1">
      <c r="A83" s="392"/>
      <c r="B83" s="394"/>
      <c r="C83" s="280"/>
      <c r="D83" s="281">
        <v>57857</v>
      </c>
      <c r="E83" s="282"/>
      <c r="F83" s="293" t="s">
        <v>131</v>
      </c>
      <c r="G83" s="294"/>
      <c r="H83" s="364" t="s">
        <v>74</v>
      </c>
      <c r="I83" s="411" t="s">
        <v>74</v>
      </c>
      <c r="J83" s="412">
        <f>77908+275</f>
        <v>78183</v>
      </c>
      <c r="K83" s="390"/>
      <c r="L83" s="367">
        <f t="shared" si="2"/>
        <v>78183</v>
      </c>
      <c r="M83" s="288"/>
      <c r="N83" s="288"/>
      <c r="O83" s="289"/>
      <c r="P83" s="290"/>
      <c r="Q83" s="290"/>
      <c r="R83" s="368"/>
      <c r="S83" s="289"/>
      <c r="T83" s="289"/>
      <c r="U83" s="290"/>
      <c r="V83" s="290"/>
      <c r="W83" s="290"/>
      <c r="X83" s="290"/>
      <c r="Y83" s="290"/>
      <c r="Z83" s="290"/>
      <c r="AA83" s="290"/>
    </row>
    <row r="84" spans="1:27" s="292" customFormat="1" ht="80.099999999999994" customHeight="1">
      <c r="A84" s="392"/>
      <c r="B84" s="394"/>
      <c r="C84" s="280"/>
      <c r="D84" s="281">
        <v>262700</v>
      </c>
      <c r="E84" s="282"/>
      <c r="F84" s="293" t="s">
        <v>132</v>
      </c>
      <c r="G84" s="294"/>
      <c r="H84" s="439">
        <v>189116</v>
      </c>
      <c r="I84" s="440">
        <v>31519</v>
      </c>
      <c r="J84" s="441">
        <f>189115-I84</f>
        <v>157596</v>
      </c>
      <c r="K84" s="390"/>
      <c r="L84" s="367">
        <f t="shared" si="2"/>
        <v>378231</v>
      </c>
      <c r="M84" s="288"/>
      <c r="N84" s="288"/>
      <c r="O84" s="289"/>
      <c r="P84" s="290"/>
      <c r="Q84" s="290"/>
      <c r="R84" s="368"/>
      <c r="S84" s="289"/>
      <c r="T84" s="289"/>
      <c r="U84" s="290"/>
      <c r="V84" s="290"/>
      <c r="W84" s="290"/>
      <c r="X84" s="290"/>
      <c r="Y84" s="290"/>
      <c r="Z84" s="290"/>
      <c r="AA84" s="290"/>
    </row>
    <row r="85" spans="1:27" s="292" customFormat="1" ht="80.099999999999994" customHeight="1">
      <c r="A85" s="392"/>
      <c r="B85" s="394"/>
      <c r="C85" s="280"/>
      <c r="D85" s="281">
        <v>306029</v>
      </c>
      <c r="E85" s="282"/>
      <c r="F85" s="293" t="s">
        <v>133</v>
      </c>
      <c r="G85" s="294"/>
      <c r="H85" s="439">
        <v>167805</v>
      </c>
      <c r="I85" s="440">
        <v>27968</v>
      </c>
      <c r="J85" s="441">
        <f>167805-I85</f>
        <v>139837</v>
      </c>
      <c r="K85" s="390"/>
      <c r="L85" s="367">
        <f t="shared" si="2"/>
        <v>335610</v>
      </c>
      <c r="M85" s="288"/>
      <c r="N85" s="288"/>
      <c r="O85" s="289"/>
      <c r="P85" s="290"/>
      <c r="Q85" s="290"/>
      <c r="R85" s="368"/>
      <c r="S85" s="289"/>
      <c r="T85" s="289"/>
      <c r="U85" s="290"/>
      <c r="V85" s="290"/>
      <c r="W85" s="290"/>
      <c r="X85" s="290"/>
      <c r="Y85" s="290"/>
      <c r="Z85" s="290"/>
      <c r="AA85" s="290"/>
    </row>
    <row r="86" spans="1:27" s="292" customFormat="1" ht="80.099999999999994" customHeight="1">
      <c r="A86" s="392"/>
      <c r="B86" s="394"/>
      <c r="C86" s="280"/>
      <c r="D86" s="281">
        <v>855430</v>
      </c>
      <c r="E86" s="282"/>
      <c r="F86" s="293" t="s">
        <v>134</v>
      </c>
      <c r="G86" s="294"/>
      <c r="H86" s="439">
        <f>393312+52000</f>
        <v>445312</v>
      </c>
      <c r="I86" s="440">
        <v>88871</v>
      </c>
      <c r="J86" s="441">
        <f>410226+123000-52000-I86</f>
        <v>392355</v>
      </c>
      <c r="K86" s="390"/>
      <c r="L86" s="367">
        <f t="shared" si="2"/>
        <v>926538</v>
      </c>
      <c r="M86" s="288"/>
      <c r="N86" s="288"/>
      <c r="O86" s="289"/>
      <c r="P86" s="290"/>
      <c r="Q86" s="442"/>
      <c r="R86" s="368"/>
      <c r="S86" s="289"/>
      <c r="T86" s="289"/>
      <c r="U86" s="290"/>
      <c r="V86" s="290"/>
      <c r="W86" s="290"/>
      <c r="X86" s="290"/>
      <c r="Y86" s="290"/>
      <c r="Z86" s="290"/>
      <c r="AA86" s="290"/>
    </row>
    <row r="87" spans="1:27" s="292" customFormat="1" ht="80.099999999999994" customHeight="1">
      <c r="A87" s="392"/>
      <c r="B87" s="394"/>
      <c r="C87" s="280"/>
      <c r="D87" s="281">
        <v>1436036</v>
      </c>
      <c r="E87" s="282"/>
      <c r="F87" s="293" t="s">
        <v>135</v>
      </c>
      <c r="G87" s="294"/>
      <c r="H87" s="439">
        <v>1536601</v>
      </c>
      <c r="I87" s="440">
        <v>222672</v>
      </c>
      <c r="J87" s="441">
        <f>1336033-I87</f>
        <v>1113361</v>
      </c>
      <c r="K87" s="390"/>
      <c r="L87" s="367">
        <f t="shared" si="2"/>
        <v>2872634</v>
      </c>
      <c r="M87" s="288"/>
      <c r="N87" s="288"/>
      <c r="O87" s="289"/>
      <c r="P87" s="290"/>
      <c r="Q87" s="442"/>
      <c r="R87" s="368"/>
      <c r="S87" s="289"/>
      <c r="T87" s="289"/>
      <c r="U87" s="290"/>
      <c r="V87" s="290"/>
      <c r="W87" s="290"/>
      <c r="X87" s="290"/>
      <c r="Y87" s="290"/>
      <c r="Z87" s="290"/>
      <c r="AA87" s="290"/>
    </row>
    <row r="88" spans="1:27" s="292" customFormat="1" ht="80.099999999999994" customHeight="1">
      <c r="A88" s="392"/>
      <c r="B88" s="279"/>
      <c r="C88" s="280"/>
      <c r="D88" s="281">
        <v>2321592</v>
      </c>
      <c r="E88" s="282"/>
      <c r="F88" s="293" t="s">
        <v>136</v>
      </c>
      <c r="G88" s="294"/>
      <c r="H88" s="439">
        <v>1879755</v>
      </c>
      <c r="I88" s="440">
        <v>423856</v>
      </c>
      <c r="J88" s="441">
        <f>1879752+663382-I88</f>
        <v>2119278</v>
      </c>
      <c r="K88" s="390"/>
      <c r="L88" s="367">
        <f t="shared" si="2"/>
        <v>4422889</v>
      </c>
      <c r="M88" s="288"/>
      <c r="N88" s="288"/>
      <c r="O88" s="289"/>
      <c r="P88" s="290"/>
      <c r="Q88" s="442"/>
      <c r="R88" s="368"/>
      <c r="S88" s="289"/>
      <c r="T88" s="289"/>
      <c r="U88" s="290"/>
      <c r="V88" s="290"/>
      <c r="W88" s="290"/>
      <c r="X88" s="290"/>
      <c r="Y88" s="290"/>
      <c r="Z88" s="290"/>
      <c r="AA88" s="290"/>
    </row>
    <row r="89" spans="1:27" s="292" customFormat="1" ht="80.099999999999994" customHeight="1">
      <c r="A89" s="392"/>
      <c r="B89" s="279"/>
      <c r="C89" s="280"/>
      <c r="D89" s="281">
        <v>318330</v>
      </c>
      <c r="E89" s="282"/>
      <c r="F89" s="293" t="s">
        <v>137</v>
      </c>
      <c r="G89" s="294"/>
      <c r="H89" s="439">
        <v>276881</v>
      </c>
      <c r="I89" s="440">
        <v>46147</v>
      </c>
      <c r="J89" s="441">
        <f>276880-I89</f>
        <v>230733</v>
      </c>
      <c r="K89" s="390"/>
      <c r="L89" s="367">
        <f t="shared" si="2"/>
        <v>553761</v>
      </c>
      <c r="M89" s="288"/>
      <c r="N89" s="288"/>
      <c r="O89" s="289"/>
      <c r="P89" s="290"/>
      <c r="Q89" s="442"/>
      <c r="R89" s="368"/>
      <c r="S89" s="289"/>
      <c r="T89" s="289"/>
      <c r="U89" s="290"/>
      <c r="V89" s="290"/>
      <c r="W89" s="290"/>
      <c r="X89" s="290"/>
      <c r="Y89" s="290"/>
      <c r="Z89" s="290"/>
      <c r="AA89" s="290"/>
    </row>
    <row r="90" spans="1:27" s="292" customFormat="1" ht="80.099999999999994" customHeight="1">
      <c r="A90" s="392"/>
      <c r="B90" s="279"/>
      <c r="C90" s="280"/>
      <c r="D90" s="281">
        <v>13967722.500000002</v>
      </c>
      <c r="E90" s="282"/>
      <c r="F90" s="293" t="s">
        <v>138</v>
      </c>
      <c r="G90" s="294"/>
      <c r="H90" s="439">
        <v>8143937</v>
      </c>
      <c r="I90" s="440">
        <f>1336562+200000</f>
        <v>1536562</v>
      </c>
      <c r="J90" s="441">
        <f>8013369+29000-I90</f>
        <v>6505807</v>
      </c>
      <c r="K90" s="390"/>
      <c r="L90" s="367">
        <f t="shared" si="2"/>
        <v>16186306</v>
      </c>
      <c r="M90" s="288"/>
      <c r="N90" s="288"/>
      <c r="O90" s="289"/>
      <c r="P90" s="290"/>
      <c r="Q90" s="442"/>
      <c r="R90" s="368"/>
      <c r="S90" s="289"/>
      <c r="T90" s="289"/>
      <c r="U90" s="290"/>
      <c r="V90" s="290"/>
      <c r="W90" s="290"/>
      <c r="X90" s="290"/>
      <c r="Y90" s="290"/>
      <c r="Z90" s="290"/>
      <c r="AA90" s="290"/>
    </row>
    <row r="91" spans="1:27" s="292" customFormat="1" ht="80.099999999999994" customHeight="1">
      <c r="A91" s="392"/>
      <c r="B91" s="279"/>
      <c r="C91" s="280"/>
      <c r="D91" s="281">
        <v>70000</v>
      </c>
      <c r="E91" s="282"/>
      <c r="F91" s="293" t="s">
        <v>139</v>
      </c>
      <c r="G91" s="294"/>
      <c r="H91" s="439">
        <v>168000</v>
      </c>
      <c r="I91" s="440">
        <v>36000</v>
      </c>
      <c r="J91" s="441">
        <f>196500-I91</f>
        <v>160500</v>
      </c>
      <c r="K91" s="390"/>
      <c r="L91" s="367">
        <f t="shared" si="2"/>
        <v>364500</v>
      </c>
      <c r="M91" s="288"/>
      <c r="N91" s="288"/>
      <c r="O91" s="289"/>
      <c r="P91" s="290"/>
      <c r="Q91" s="442"/>
      <c r="R91" s="368"/>
      <c r="S91" s="289"/>
      <c r="T91" s="289"/>
      <c r="U91" s="290"/>
      <c r="V91" s="290"/>
      <c r="W91" s="290"/>
      <c r="X91" s="290"/>
      <c r="Y91" s="290"/>
      <c r="Z91" s="290"/>
      <c r="AA91" s="290"/>
    </row>
    <row r="92" spans="1:27" s="292" customFormat="1" ht="80.099999999999994" customHeight="1">
      <c r="A92" s="392"/>
      <c r="B92" s="279"/>
      <c r="C92" s="280"/>
      <c r="D92" s="281">
        <v>1137417</v>
      </c>
      <c r="E92" s="282"/>
      <c r="F92" s="293" t="s">
        <v>140</v>
      </c>
      <c r="G92" s="294"/>
      <c r="H92" s="439">
        <v>2245934</v>
      </c>
      <c r="I92" s="364" t="s">
        <v>74</v>
      </c>
      <c r="J92" s="441">
        <f>4657000+43000-H92</f>
        <v>2454066</v>
      </c>
      <c r="K92" s="390"/>
      <c r="L92" s="367">
        <f t="shared" si="2"/>
        <v>4700000</v>
      </c>
      <c r="M92" s="288"/>
      <c r="N92" s="288"/>
      <c r="O92" s="289"/>
      <c r="P92" s="290"/>
      <c r="Q92" s="442"/>
      <c r="R92" s="368"/>
      <c r="S92" s="289"/>
      <c r="T92" s="289"/>
      <c r="U92" s="290"/>
      <c r="V92" s="290"/>
      <c r="W92" s="290"/>
      <c r="X92" s="290"/>
      <c r="Y92" s="290"/>
      <c r="Z92" s="290"/>
      <c r="AA92" s="290"/>
    </row>
    <row r="93" spans="1:27" s="292" customFormat="1" ht="80.099999999999994" customHeight="1">
      <c r="A93" s="392"/>
      <c r="B93" s="279"/>
      <c r="C93" s="280"/>
      <c r="D93" s="281">
        <v>308955</v>
      </c>
      <c r="E93" s="282"/>
      <c r="F93" s="293" t="s">
        <v>141</v>
      </c>
      <c r="G93" s="294"/>
      <c r="H93" s="364" t="s">
        <v>74</v>
      </c>
      <c r="I93" s="364" t="s">
        <v>74</v>
      </c>
      <c r="J93" s="412">
        <v>271920</v>
      </c>
      <c r="K93" s="390"/>
      <c r="L93" s="367">
        <f t="shared" si="2"/>
        <v>271920</v>
      </c>
      <c r="M93" s="288"/>
      <c r="N93" s="288"/>
      <c r="O93" s="289"/>
      <c r="P93" s="290"/>
      <c r="Q93" s="290"/>
      <c r="R93" s="368"/>
      <c r="S93" s="289"/>
      <c r="T93" s="289"/>
      <c r="U93" s="290"/>
      <c r="V93" s="290"/>
      <c r="W93" s="290"/>
      <c r="X93" s="290"/>
      <c r="Y93" s="290"/>
      <c r="Z93" s="290"/>
      <c r="AA93" s="290"/>
    </row>
    <row r="94" spans="1:27" s="292" customFormat="1" ht="80.099999999999994" customHeight="1">
      <c r="A94" s="392"/>
      <c r="B94" s="279"/>
      <c r="C94" s="280"/>
      <c r="D94" s="281">
        <v>0</v>
      </c>
      <c r="E94" s="282"/>
      <c r="F94" s="293" t="s">
        <v>142</v>
      </c>
      <c r="G94" s="294"/>
      <c r="H94" s="364" t="s">
        <v>74</v>
      </c>
      <c r="I94" s="411" t="s">
        <v>74</v>
      </c>
      <c r="J94" s="412">
        <v>75000</v>
      </c>
      <c r="K94" s="390"/>
      <c r="L94" s="367">
        <f t="shared" si="2"/>
        <v>75000</v>
      </c>
      <c r="M94" s="288"/>
      <c r="N94" s="288"/>
      <c r="O94" s="289"/>
      <c r="P94" s="443"/>
      <c r="Q94" s="290"/>
      <c r="R94" s="368"/>
      <c r="S94" s="289"/>
      <c r="T94" s="289"/>
      <c r="U94" s="290"/>
      <c r="V94" s="290"/>
      <c r="W94" s="290"/>
      <c r="X94" s="290"/>
      <c r="Y94" s="290"/>
      <c r="Z94" s="290"/>
      <c r="AA94" s="290"/>
    </row>
    <row r="95" spans="1:27" s="292" customFormat="1" ht="80.099999999999994" hidden="1" customHeight="1">
      <c r="A95" s="392"/>
      <c r="B95" s="279"/>
      <c r="C95" s="280"/>
      <c r="D95" s="281">
        <v>0</v>
      </c>
      <c r="E95" s="282"/>
      <c r="F95" s="293" t="s">
        <v>143</v>
      </c>
      <c r="G95" s="294"/>
      <c r="H95" s="364"/>
      <c r="I95" s="411"/>
      <c r="J95" s="412">
        <v>0</v>
      </c>
      <c r="K95" s="390"/>
      <c r="L95" s="367">
        <f t="shared" si="2"/>
        <v>0</v>
      </c>
      <c r="M95" s="288"/>
      <c r="N95" s="288"/>
      <c r="O95" s="289"/>
      <c r="P95" s="443"/>
      <c r="Q95" s="290"/>
      <c r="R95" s="368"/>
      <c r="S95" s="289"/>
      <c r="T95" s="289"/>
      <c r="U95" s="290"/>
      <c r="V95" s="290"/>
      <c r="W95" s="290"/>
      <c r="X95" s="290"/>
      <c r="Y95" s="290"/>
      <c r="Z95" s="290"/>
      <c r="AA95" s="290"/>
    </row>
    <row r="96" spans="1:27" s="292" customFormat="1" ht="80.099999999999994" customHeight="1">
      <c r="A96" s="392"/>
      <c r="B96" s="279"/>
      <c r="C96" s="280"/>
      <c r="D96" s="281">
        <v>778</v>
      </c>
      <c r="E96" s="282"/>
      <c r="F96" s="293" t="s">
        <v>144</v>
      </c>
      <c r="G96" s="294"/>
      <c r="H96" s="364" t="s">
        <v>74</v>
      </c>
      <c r="I96" s="411" t="s">
        <v>74</v>
      </c>
      <c r="J96" s="412">
        <f>6366+8000</f>
        <v>14366</v>
      </c>
      <c r="K96" s="390"/>
      <c r="L96" s="367">
        <f t="shared" si="2"/>
        <v>14366</v>
      </c>
      <c r="M96" s="288"/>
      <c r="N96" s="288"/>
      <c r="O96" s="289"/>
      <c r="P96" s="444"/>
      <c r="Q96" s="290"/>
      <c r="R96" s="368"/>
      <c r="S96" s="289"/>
      <c r="T96" s="289"/>
      <c r="U96" s="290"/>
      <c r="V96" s="290"/>
      <c r="W96" s="290"/>
      <c r="X96" s="290"/>
      <c r="Y96" s="290"/>
      <c r="Z96" s="290"/>
      <c r="AA96" s="290"/>
    </row>
    <row r="97" spans="1:27" s="292" customFormat="1" ht="80.099999999999994" customHeight="1">
      <c r="A97" s="392"/>
      <c r="B97" s="279"/>
      <c r="C97" s="280"/>
      <c r="D97" s="281">
        <v>221835</v>
      </c>
      <c r="E97" s="282"/>
      <c r="F97" s="293" t="s">
        <v>145</v>
      </c>
      <c r="G97" s="294"/>
      <c r="H97" s="364" t="s">
        <v>74</v>
      </c>
      <c r="I97" s="411" t="s">
        <v>74</v>
      </c>
      <c r="J97" s="412">
        <f>448144-17500+655</f>
        <v>431299</v>
      </c>
      <c r="K97" s="390"/>
      <c r="L97" s="367">
        <f t="shared" si="2"/>
        <v>431299</v>
      </c>
      <c r="M97" s="288"/>
      <c r="N97" s="288"/>
      <c r="O97" s="289"/>
      <c r="P97" s="290"/>
      <c r="Q97" s="290"/>
      <c r="R97" s="368"/>
      <c r="S97" s="289"/>
      <c r="T97" s="289"/>
      <c r="U97" s="290"/>
      <c r="V97" s="290"/>
      <c r="W97" s="290"/>
      <c r="X97" s="290"/>
      <c r="Y97" s="290"/>
      <c r="Z97" s="290"/>
      <c r="AA97" s="290"/>
    </row>
    <row r="98" spans="1:27" s="292" customFormat="1" ht="80.099999999999994" customHeight="1">
      <c r="A98" s="392"/>
      <c r="B98" s="279"/>
      <c r="C98" s="280"/>
      <c r="D98" s="281">
        <v>24000</v>
      </c>
      <c r="E98" s="282"/>
      <c r="F98" s="293" t="s">
        <v>146</v>
      </c>
      <c r="G98" s="294"/>
      <c r="H98" s="364" t="s">
        <v>74</v>
      </c>
      <c r="I98" s="411" t="s">
        <v>74</v>
      </c>
      <c r="J98" s="412">
        <v>24000</v>
      </c>
      <c r="K98" s="390"/>
      <c r="L98" s="367">
        <f t="shared" si="2"/>
        <v>24000</v>
      </c>
      <c r="M98" s="288"/>
      <c r="N98" s="288"/>
      <c r="O98" s="289"/>
      <c r="P98" s="290"/>
      <c r="Q98" s="290"/>
      <c r="R98" s="368"/>
      <c r="S98" s="289"/>
      <c r="T98" s="289"/>
      <c r="U98" s="290"/>
      <c r="V98" s="290"/>
      <c r="W98" s="290"/>
      <c r="X98" s="290"/>
      <c r="Y98" s="290"/>
      <c r="Z98" s="290"/>
      <c r="AA98" s="290"/>
    </row>
    <row r="99" spans="1:27" s="292" customFormat="1" ht="80.099999999999994" customHeight="1">
      <c r="A99" s="392"/>
      <c r="B99" s="279"/>
      <c r="C99" s="280"/>
      <c r="D99" s="281">
        <v>200000</v>
      </c>
      <c r="E99" s="282"/>
      <c r="F99" s="293" t="s">
        <v>147</v>
      </c>
      <c r="G99" s="294"/>
      <c r="H99" s="364" t="s">
        <v>74</v>
      </c>
      <c r="I99" s="411" t="s">
        <v>74</v>
      </c>
      <c r="J99" s="412">
        <v>200000</v>
      </c>
      <c r="K99" s="390"/>
      <c r="L99" s="367">
        <f t="shared" si="2"/>
        <v>200000</v>
      </c>
      <c r="M99" s="288"/>
      <c r="N99" s="288"/>
      <c r="O99" s="289"/>
      <c r="P99" s="290"/>
      <c r="Q99" s="290"/>
      <c r="R99" s="368"/>
      <c r="S99" s="289"/>
      <c r="T99" s="289"/>
      <c r="U99" s="290"/>
      <c r="V99" s="290"/>
      <c r="W99" s="290"/>
      <c r="X99" s="290"/>
      <c r="Y99" s="290"/>
      <c r="Z99" s="290"/>
      <c r="AA99" s="290"/>
    </row>
    <row r="100" spans="1:27" s="292" customFormat="1" ht="80.099999999999994" customHeight="1">
      <c r="A100" s="392"/>
      <c r="B100" s="279"/>
      <c r="C100" s="280"/>
      <c r="D100" s="281">
        <v>839841</v>
      </c>
      <c r="E100" s="282"/>
      <c r="F100" s="293" t="s">
        <v>148</v>
      </c>
      <c r="G100" s="294"/>
      <c r="H100" s="364" t="s">
        <v>74</v>
      </c>
      <c r="I100" s="411" t="s">
        <v>74</v>
      </c>
      <c r="J100" s="412" t="s">
        <v>74</v>
      </c>
      <c r="K100" s="390"/>
      <c r="L100" s="367">
        <f t="shared" si="2"/>
        <v>0</v>
      </c>
      <c r="M100" s="288"/>
      <c r="N100" s="288"/>
      <c r="O100" s="289"/>
      <c r="P100" s="290"/>
      <c r="Q100" s="290"/>
      <c r="R100" s="368"/>
      <c r="S100" s="289"/>
      <c r="T100" s="289"/>
      <c r="U100" s="290"/>
      <c r="V100" s="290"/>
      <c r="W100" s="290"/>
      <c r="X100" s="290"/>
      <c r="Y100" s="290"/>
      <c r="Z100" s="290"/>
      <c r="AA100" s="290"/>
    </row>
    <row r="101" spans="1:27" s="292" customFormat="1" ht="80.099999999999994" customHeight="1">
      <c r="A101" s="392"/>
      <c r="B101" s="279"/>
      <c r="C101" s="280"/>
      <c r="D101" s="281">
        <v>0</v>
      </c>
      <c r="F101" s="293" t="s">
        <v>149</v>
      </c>
      <c r="G101" s="294"/>
      <c r="H101" s="364" t="s">
        <v>74</v>
      </c>
      <c r="I101" s="411" t="s">
        <v>74</v>
      </c>
      <c r="J101" s="412">
        <f>699935+503</f>
        <v>700438</v>
      </c>
      <c r="K101" s="390"/>
      <c r="L101" s="367">
        <f t="shared" si="2"/>
        <v>700438</v>
      </c>
      <c r="M101" s="288"/>
      <c r="N101" s="288"/>
      <c r="O101" s="289"/>
      <c r="P101" s="290"/>
      <c r="Q101" s="290"/>
      <c r="R101" s="368"/>
      <c r="S101" s="289"/>
      <c r="T101" s="289"/>
      <c r="U101" s="290"/>
      <c r="V101" s="290"/>
      <c r="W101" s="290"/>
      <c r="X101" s="290"/>
      <c r="Y101" s="290"/>
      <c r="Z101" s="290"/>
      <c r="AA101" s="290"/>
    </row>
    <row r="102" spans="1:27" s="292" customFormat="1" ht="65.099999999999994" hidden="1" customHeight="1">
      <c r="A102" s="392"/>
      <c r="B102" s="279"/>
      <c r="C102" s="280"/>
      <c r="D102" s="281"/>
      <c r="E102" s="282"/>
      <c r="F102" s="445" t="s">
        <v>150</v>
      </c>
      <c r="G102" s="294"/>
      <c r="H102" s="364" t="s">
        <v>74</v>
      </c>
      <c r="I102" s="411" t="s">
        <v>74</v>
      </c>
      <c r="J102" s="365" t="e">
        <f>#REF!</f>
        <v>#REF!</v>
      </c>
      <c r="K102" s="390"/>
      <c r="L102" s="367" t="e">
        <f t="shared" ref="L102:L104" si="3">SUM(H102:J102)</f>
        <v>#REF!</v>
      </c>
      <c r="M102" s="288"/>
      <c r="N102" s="288"/>
      <c r="O102" s="289"/>
      <c r="P102" s="290"/>
      <c r="Q102" s="290"/>
      <c r="R102" s="368"/>
      <c r="S102" s="289"/>
      <c r="T102" s="289"/>
      <c r="U102" s="290"/>
      <c r="V102" s="290"/>
      <c r="W102" s="290"/>
      <c r="X102" s="290"/>
      <c r="Y102" s="290"/>
      <c r="Z102" s="290"/>
      <c r="AA102" s="290"/>
    </row>
    <row r="103" spans="1:27" s="292" customFormat="1" ht="65.099999999999994" hidden="1" customHeight="1">
      <c r="A103" s="392"/>
      <c r="B103" s="279"/>
      <c r="C103" s="280"/>
      <c r="D103" s="281"/>
      <c r="E103" s="282"/>
      <c r="F103" s="445" t="s">
        <v>151</v>
      </c>
      <c r="G103" s="294"/>
      <c r="H103" s="364" t="s">
        <v>74</v>
      </c>
      <c r="I103" s="411" t="s">
        <v>74</v>
      </c>
      <c r="J103" s="365" t="e">
        <f>#REF!</f>
        <v>#REF!</v>
      </c>
      <c r="K103" s="390"/>
      <c r="L103" s="367" t="e">
        <f t="shared" si="3"/>
        <v>#REF!</v>
      </c>
      <c r="M103" s="288"/>
      <c r="N103" s="288"/>
      <c r="O103" s="289"/>
      <c r="P103" s="290"/>
      <c r="Q103" s="290"/>
      <c r="R103" s="368"/>
      <c r="S103" s="289"/>
      <c r="T103" s="289"/>
      <c r="U103" s="290"/>
      <c r="V103" s="290"/>
      <c r="W103" s="290"/>
      <c r="X103" s="290"/>
      <c r="Y103" s="290"/>
      <c r="Z103" s="290"/>
      <c r="AA103" s="290"/>
    </row>
    <row r="104" spans="1:27" s="292" customFormat="1" ht="65.099999999999994" hidden="1" customHeight="1">
      <c r="A104" s="392"/>
      <c r="B104" s="279"/>
      <c r="C104" s="280"/>
      <c r="D104" s="281"/>
      <c r="E104" s="282"/>
      <c r="F104" s="445" t="s">
        <v>152</v>
      </c>
      <c r="G104" s="294"/>
      <c r="H104" s="364" t="s">
        <v>74</v>
      </c>
      <c r="I104" s="411" t="s">
        <v>74</v>
      </c>
      <c r="J104" s="365" t="e">
        <f>#REF!</f>
        <v>#REF!</v>
      </c>
      <c r="K104" s="390"/>
      <c r="L104" s="367" t="e">
        <f t="shared" si="3"/>
        <v>#REF!</v>
      </c>
      <c r="M104" s="288"/>
      <c r="N104" s="288"/>
      <c r="O104" s="289"/>
      <c r="P104" s="290"/>
      <c r="Q104" s="290"/>
      <c r="R104" s="368"/>
      <c r="S104" s="289"/>
      <c r="T104" s="289"/>
      <c r="U104" s="290"/>
      <c r="V104" s="290"/>
      <c r="W104" s="290"/>
      <c r="X104" s="290"/>
      <c r="Y104" s="290"/>
      <c r="Z104" s="290"/>
      <c r="AA104" s="290"/>
    </row>
    <row r="105" spans="1:27" s="455" customFormat="1" ht="44.25" customHeight="1" thickBot="1">
      <c r="A105" s="446"/>
      <c r="B105" s="447"/>
      <c r="C105" s="448"/>
      <c r="D105" s="449"/>
      <c r="E105" s="398"/>
      <c r="F105" s="344"/>
      <c r="G105" s="344"/>
      <c r="H105" s="316"/>
      <c r="I105" s="316"/>
      <c r="J105" s="317"/>
      <c r="K105" s="316"/>
      <c r="L105" s="450"/>
      <c r="M105" s="451"/>
      <c r="N105" s="451"/>
      <c r="O105" s="452"/>
      <c r="P105" s="453"/>
      <c r="Q105" s="453"/>
      <c r="R105" s="454"/>
      <c r="S105" s="452"/>
      <c r="T105" s="452"/>
      <c r="U105" s="453"/>
      <c r="V105" s="453"/>
      <c r="W105" s="453"/>
      <c r="X105" s="453"/>
      <c r="Y105" s="453"/>
      <c r="Z105" s="453"/>
      <c r="AA105" s="453"/>
    </row>
    <row r="106" spans="1:27" ht="99.95" customHeight="1" thickBot="1">
      <c r="A106" s="456"/>
      <c r="C106" s="270"/>
      <c r="D106" s="457"/>
      <c r="E106" s="398"/>
      <c r="F106" s="458" t="s">
        <v>153</v>
      </c>
      <c r="G106" s="459"/>
      <c r="H106" s="327">
        <f>SUM(H36:H104)</f>
        <v>24839424</v>
      </c>
      <c r="I106" s="327">
        <f>SUM(I30:I104)</f>
        <v>13521326</v>
      </c>
      <c r="J106" s="327">
        <f>SUM(J36:J101)</f>
        <v>29249559</v>
      </c>
      <c r="K106" s="329"/>
      <c r="L106" s="327">
        <f>SUM(L30:L101)</f>
        <v>67610309</v>
      </c>
      <c r="M106" s="278"/>
      <c r="N106" s="278"/>
      <c r="R106" s="408"/>
    </row>
    <row r="107" spans="1:27" ht="13.5" customHeight="1">
      <c r="A107" s="456"/>
      <c r="C107" s="270"/>
      <c r="D107" s="460"/>
      <c r="E107" s="398"/>
      <c r="F107" s="461"/>
      <c r="G107" s="462"/>
      <c r="H107" s="463"/>
      <c r="I107" s="463"/>
      <c r="J107" s="464"/>
      <c r="K107" s="465"/>
      <c r="L107" s="466"/>
      <c r="M107" s="278"/>
      <c r="N107" s="278"/>
      <c r="R107" s="454"/>
    </row>
    <row r="108" spans="1:27" ht="13.5" customHeight="1" thickBot="1">
      <c r="A108" s="456"/>
      <c r="C108" s="270"/>
      <c r="D108" s="460"/>
      <c r="E108" s="398"/>
      <c r="F108" s="461"/>
      <c r="G108" s="462"/>
      <c r="H108" s="463"/>
      <c r="I108" s="463"/>
      <c r="J108" s="464"/>
      <c r="K108" s="465"/>
      <c r="L108" s="466"/>
      <c r="M108" s="278"/>
      <c r="N108" s="278"/>
      <c r="R108" s="454"/>
    </row>
    <row r="109" spans="1:27" ht="99.95" customHeight="1" thickBot="1">
      <c r="A109" s="456"/>
      <c r="C109" s="270"/>
      <c r="D109" s="341">
        <f>SUM(D30:D104)</f>
        <v>55022266</v>
      </c>
      <c r="E109" s="398"/>
      <c r="F109" s="467" t="s">
        <v>154</v>
      </c>
      <c r="G109" s="468"/>
      <c r="H109" s="341">
        <f>16166850+3000000</f>
        <v>19166850</v>
      </c>
      <c r="I109" s="338">
        <v>12902916</v>
      </c>
      <c r="J109" s="469">
        <f>22718900+233600</f>
        <v>22952500</v>
      </c>
      <c r="K109" s="470"/>
      <c r="L109" s="341">
        <f>SUM(H109:J109)</f>
        <v>55022266</v>
      </c>
      <c r="M109" s="278"/>
      <c r="N109" s="278"/>
      <c r="R109" s="454"/>
    </row>
    <row r="110" spans="1:27" ht="20.100000000000001" customHeight="1" thickBot="1">
      <c r="A110" s="456"/>
      <c r="C110" s="270"/>
      <c r="E110" s="398"/>
      <c r="F110" s="461"/>
      <c r="G110" s="471"/>
      <c r="H110" s="472"/>
      <c r="I110" s="472"/>
      <c r="J110" s="473"/>
      <c r="K110" s="465"/>
      <c r="L110" s="466"/>
      <c r="M110" s="278"/>
      <c r="N110" s="278"/>
      <c r="R110" s="454"/>
    </row>
    <row r="111" spans="1:27" ht="99.95" customHeight="1" thickBot="1">
      <c r="A111" s="456"/>
      <c r="C111" s="270"/>
      <c r="D111" s="474"/>
      <c r="E111" s="398"/>
      <c r="F111" s="475" t="s">
        <v>155</v>
      </c>
      <c r="G111" s="476"/>
      <c r="H111" s="477">
        <f>+H21-H106</f>
        <v>18629568</v>
      </c>
      <c r="I111" s="477">
        <f>+I21-I106</f>
        <v>205852</v>
      </c>
      <c r="J111" s="477">
        <f>+J21-J106</f>
        <v>-18843298</v>
      </c>
      <c r="K111" s="477">
        <f>+K21-K106</f>
        <v>0</v>
      </c>
      <c r="L111" s="477">
        <f>+L21-L106</f>
        <v>-7878</v>
      </c>
      <c r="M111" s="278"/>
      <c r="N111" s="278"/>
      <c r="R111" s="408"/>
    </row>
    <row r="112" spans="1:27" ht="20.100000000000001" customHeight="1" thickBot="1">
      <c r="A112" s="456"/>
      <c r="C112" s="270"/>
      <c r="D112" s="478"/>
      <c r="E112" s="398"/>
      <c r="F112" s="479"/>
      <c r="G112" s="480"/>
      <c r="H112" s="481"/>
      <c r="I112" s="481"/>
      <c r="J112" s="482"/>
      <c r="K112" s="483"/>
      <c r="L112" s="484"/>
      <c r="M112" s="278"/>
      <c r="N112" s="278"/>
    </row>
    <row r="113" spans="1:27" ht="99.95" customHeight="1" thickBot="1">
      <c r="A113" s="456"/>
      <c r="B113" s="485"/>
      <c r="C113" s="486"/>
      <c r="D113" s="487">
        <f>+D23-D109</f>
        <v>-197797</v>
      </c>
      <c r="E113" s="398"/>
      <c r="F113" s="467" t="s">
        <v>156</v>
      </c>
      <c r="G113" s="468"/>
      <c r="H113" s="488">
        <f>+H23-H109</f>
        <v>13695783</v>
      </c>
      <c r="I113" s="488">
        <f>+I23-I109</f>
        <v>-531318</v>
      </c>
      <c r="J113" s="488">
        <f>+J23-J109</f>
        <v>-13362262</v>
      </c>
      <c r="K113" s="489"/>
      <c r="L113" s="490">
        <f>SUM(H113:J113)</f>
        <v>-197797</v>
      </c>
      <c r="M113" s="278"/>
      <c r="N113" s="491"/>
    </row>
    <row r="114" spans="1:27" ht="20.25" customHeight="1" thickBot="1">
      <c r="A114" s="456"/>
      <c r="B114" s="485"/>
      <c r="C114" s="486"/>
      <c r="D114" s="271"/>
      <c r="E114" s="398"/>
      <c r="F114" s="492"/>
      <c r="G114" s="492"/>
      <c r="H114" s="493"/>
      <c r="I114" s="493"/>
      <c r="J114" s="494"/>
      <c r="K114" s="483"/>
      <c r="L114" s="493"/>
      <c r="M114" s="278"/>
      <c r="N114" s="491"/>
    </row>
    <row r="115" spans="1:27" s="323" customFormat="1" ht="32.25" customHeight="1" thickBot="1">
      <c r="A115" s="376"/>
      <c r="B115" s="495"/>
      <c r="C115" s="377"/>
      <c r="D115" s="496"/>
      <c r="E115" s="313"/>
      <c r="F115" s="316"/>
      <c r="G115" s="316"/>
      <c r="H115" s="316"/>
      <c r="I115" s="316"/>
      <c r="J115" s="317"/>
      <c r="K115" s="316"/>
      <c r="L115" s="316"/>
      <c r="M115" s="319"/>
      <c r="N115" s="319"/>
      <c r="O115" s="386"/>
      <c r="P115" s="387"/>
      <c r="Q115" s="321"/>
      <c r="R115" s="322"/>
      <c r="S115" s="320"/>
      <c r="T115" s="320"/>
      <c r="U115" s="321"/>
      <c r="V115" s="321"/>
      <c r="W115" s="321"/>
      <c r="X115" s="321"/>
      <c r="Y115" s="321"/>
      <c r="Z115" s="321"/>
      <c r="AA115" s="321"/>
    </row>
    <row r="116" spans="1:27" ht="17.25" customHeight="1" thickTop="1" thickBot="1">
      <c r="A116" s="456"/>
      <c r="B116" s="485"/>
      <c r="C116" s="497"/>
      <c r="D116" s="498"/>
      <c r="E116" s="499"/>
      <c r="F116" s="500"/>
      <c r="G116" s="500"/>
      <c r="H116" s="501"/>
      <c r="I116" s="501"/>
      <c r="J116" s="502"/>
      <c r="K116" s="503"/>
      <c r="L116" s="501"/>
      <c r="M116" s="504"/>
      <c r="N116" s="278"/>
      <c r="O116" s="272"/>
      <c r="P116" s="206"/>
    </row>
    <row r="117" spans="1:27" ht="80.099999999999994" customHeight="1" thickTop="1">
      <c r="A117" s="456"/>
      <c r="B117" s="486"/>
      <c r="C117" s="270"/>
      <c r="D117" s="505"/>
      <c r="E117" s="398"/>
      <c r="F117" s="506"/>
      <c r="G117" s="506"/>
      <c r="H117" s="507"/>
      <c r="I117" s="507"/>
      <c r="J117" s="508"/>
      <c r="K117" s="316"/>
      <c r="L117" s="507"/>
      <c r="M117" s="278"/>
      <c r="N117" s="278"/>
      <c r="O117" s="272"/>
      <c r="P117" s="206"/>
    </row>
    <row r="118" spans="1:27" ht="46.5" customHeight="1">
      <c r="A118" s="456"/>
      <c r="C118" s="270"/>
      <c r="D118" s="505"/>
      <c r="E118" s="398"/>
      <c r="F118" s="509"/>
      <c r="G118" s="509"/>
      <c r="H118" s="510"/>
      <c r="I118" s="510"/>
      <c r="J118" s="510"/>
      <c r="K118" s="511"/>
      <c r="L118" s="511"/>
      <c r="M118" s="278"/>
      <c r="N118" s="278"/>
    </row>
    <row r="119" spans="1:27" ht="46.5" customHeight="1">
      <c r="A119" s="456"/>
      <c r="C119" s="270"/>
      <c r="D119" s="505"/>
      <c r="E119" s="398"/>
      <c r="F119" s="509"/>
      <c r="G119" s="509"/>
      <c r="H119" s="510"/>
      <c r="I119" s="510"/>
      <c r="J119" s="510"/>
      <c r="K119" s="511"/>
      <c r="L119" s="511"/>
      <c r="M119" s="278"/>
      <c r="N119" s="278"/>
    </row>
    <row r="120" spans="1:27" ht="46.5" customHeight="1">
      <c r="A120" s="456"/>
      <c r="C120" s="270"/>
      <c r="D120" s="505"/>
      <c r="E120" s="398"/>
      <c r="F120" s="509"/>
      <c r="G120" s="509"/>
      <c r="H120" s="510"/>
      <c r="I120" s="510"/>
      <c r="J120" s="510"/>
      <c r="K120" s="511"/>
      <c r="L120" s="511"/>
      <c r="M120" s="278"/>
      <c r="N120" s="278"/>
    </row>
    <row r="121" spans="1:27" ht="46.5" customHeight="1">
      <c r="A121" s="456"/>
      <c r="C121" s="270"/>
      <c r="D121" s="505"/>
      <c r="E121" s="398"/>
      <c r="F121" s="509"/>
      <c r="G121" s="509"/>
      <c r="H121" s="511"/>
      <c r="I121" s="511"/>
      <c r="J121" s="512"/>
      <c r="K121" s="511"/>
      <c r="L121" s="511"/>
      <c r="M121" s="278"/>
      <c r="N121" s="278"/>
    </row>
    <row r="122" spans="1:27" ht="46.5" customHeight="1">
      <c r="A122" s="456"/>
      <c r="C122" s="270"/>
      <c r="D122" s="505"/>
      <c r="E122" s="398"/>
      <c r="F122" s="509"/>
      <c r="G122" s="509"/>
      <c r="H122" s="511"/>
      <c r="I122" s="511"/>
      <c r="J122" s="512"/>
      <c r="K122" s="511"/>
      <c r="L122" s="511"/>
      <c r="M122" s="278"/>
      <c r="N122" s="278"/>
    </row>
    <row r="123" spans="1:27" ht="145.5" customHeight="1">
      <c r="A123" s="456"/>
      <c r="C123" s="270"/>
      <c r="D123" s="513"/>
      <c r="E123" s="398"/>
      <c r="F123" s="514"/>
      <c r="G123" s="509"/>
      <c r="H123" s="511"/>
      <c r="I123" s="511"/>
      <c r="J123" s="515"/>
      <c r="K123" s="511"/>
      <c r="L123" s="516"/>
      <c r="M123" s="278"/>
      <c r="N123" s="278"/>
    </row>
    <row r="124" spans="1:27" s="524" customFormat="1" ht="80.099999999999994" customHeight="1">
      <c r="A124" s="517"/>
      <c r="B124" s="518"/>
      <c r="C124" s="519"/>
      <c r="D124" s="520"/>
      <c r="E124" s="520"/>
      <c r="F124" s="520"/>
      <c r="G124" s="520"/>
      <c r="H124" s="520"/>
      <c r="I124" s="520"/>
      <c r="J124" s="520"/>
      <c r="K124" s="520"/>
      <c r="L124" s="520"/>
      <c r="M124" s="521"/>
      <c r="N124" s="521"/>
      <c r="O124" s="522"/>
      <c r="P124" s="523"/>
      <c r="Q124" s="523"/>
      <c r="R124" s="522"/>
      <c r="S124" s="522"/>
      <c r="T124" s="522"/>
      <c r="U124" s="523"/>
      <c r="V124" s="523"/>
      <c r="W124" s="523"/>
      <c r="X124" s="523"/>
      <c r="Y124" s="523"/>
      <c r="Z124" s="523"/>
      <c r="AA124" s="523"/>
    </row>
    <row r="125" spans="1:27" s="532" customFormat="1" ht="121.5" customHeight="1">
      <c r="A125" s="525"/>
      <c r="B125" s="526"/>
      <c r="C125" s="527"/>
      <c r="D125" s="528" t="s">
        <v>157</v>
      </c>
      <c r="E125" s="528"/>
      <c r="F125" s="528"/>
      <c r="G125" s="528"/>
      <c r="H125" s="528"/>
      <c r="I125" s="528"/>
      <c r="J125" s="528"/>
      <c r="K125" s="528"/>
      <c r="L125" s="528"/>
      <c r="M125" s="529"/>
      <c r="N125" s="529"/>
      <c r="O125" s="530"/>
      <c r="P125" s="531"/>
      <c r="Q125" s="531"/>
      <c r="R125" s="530"/>
      <c r="S125" s="530"/>
      <c r="T125" s="530"/>
      <c r="U125" s="531"/>
      <c r="V125" s="531"/>
      <c r="W125" s="531"/>
      <c r="X125" s="531"/>
      <c r="Y125" s="531"/>
      <c r="Z125" s="531"/>
      <c r="AA125" s="531"/>
    </row>
    <row r="126" spans="1:27" s="542" customFormat="1" ht="99.95" customHeight="1">
      <c r="A126" s="533"/>
      <c r="B126" s="534"/>
      <c r="C126" s="535"/>
      <c r="D126" s="536" t="s">
        <v>158</v>
      </c>
      <c r="E126" s="537"/>
      <c r="F126" s="537"/>
      <c r="G126" s="537"/>
      <c r="H126" s="537"/>
      <c r="I126" s="537"/>
      <c r="J126" s="538"/>
      <c r="K126" s="537"/>
      <c r="L126" s="537"/>
      <c r="M126" s="539"/>
      <c r="N126" s="539"/>
      <c r="O126" s="540"/>
      <c r="P126" s="541"/>
      <c r="Q126" s="541"/>
      <c r="R126" s="540"/>
      <c r="S126" s="540"/>
      <c r="T126" s="540"/>
      <c r="U126" s="541"/>
      <c r="V126" s="541"/>
      <c r="W126" s="541"/>
      <c r="X126" s="541"/>
      <c r="Y126" s="541"/>
      <c r="Z126" s="541"/>
      <c r="AA126" s="541"/>
    </row>
    <row r="127" spans="1:27" s="542" customFormat="1" ht="99.95" customHeight="1">
      <c r="A127" s="533"/>
      <c r="B127" s="534"/>
      <c r="C127" s="535"/>
      <c r="D127" s="536" t="s">
        <v>159</v>
      </c>
      <c r="E127" s="537"/>
      <c r="F127" s="537"/>
      <c r="G127" s="537"/>
      <c r="H127" s="537"/>
      <c r="I127" s="537"/>
      <c r="J127" s="538"/>
      <c r="K127" s="537"/>
      <c r="L127" s="537"/>
      <c r="M127" s="539"/>
      <c r="N127" s="539"/>
      <c r="O127" s="540"/>
      <c r="P127" s="541"/>
      <c r="Q127" s="541"/>
      <c r="R127" s="540"/>
      <c r="S127" s="540"/>
      <c r="T127" s="540"/>
      <c r="U127" s="541"/>
      <c r="V127" s="541"/>
      <c r="W127" s="541"/>
      <c r="X127" s="541"/>
      <c r="Y127" s="541"/>
      <c r="Z127" s="541"/>
      <c r="AA127" s="541"/>
    </row>
    <row r="128" spans="1:27" s="542" customFormat="1" ht="99.95" customHeight="1">
      <c r="A128" s="533"/>
      <c r="B128" s="534"/>
      <c r="C128" s="535"/>
      <c r="D128" s="536" t="s">
        <v>160</v>
      </c>
      <c r="E128" s="537"/>
      <c r="F128" s="537"/>
      <c r="G128" s="537"/>
      <c r="H128" s="537"/>
      <c r="I128" s="537"/>
      <c r="J128" s="538"/>
      <c r="K128" s="537"/>
      <c r="L128" s="537"/>
      <c r="M128" s="539"/>
      <c r="N128" s="539"/>
      <c r="O128" s="540"/>
      <c r="P128" s="541"/>
      <c r="Q128" s="541"/>
      <c r="R128" s="540"/>
      <c r="S128" s="540"/>
      <c r="T128" s="540"/>
      <c r="U128" s="541"/>
      <c r="V128" s="541"/>
      <c r="W128" s="541"/>
      <c r="X128" s="541"/>
      <c r="Y128" s="541"/>
      <c r="Z128" s="541"/>
      <c r="AA128" s="541"/>
    </row>
    <row r="129" spans="1:27" ht="80.099999999999994" customHeight="1">
      <c r="A129" s="456"/>
      <c r="C129" s="270"/>
      <c r="D129" s="536" t="s">
        <v>161</v>
      </c>
      <c r="E129" s="398"/>
      <c r="F129" s="543"/>
      <c r="G129" s="543"/>
      <c r="H129" s="544"/>
      <c r="I129" s="544"/>
      <c r="J129" s="545"/>
      <c r="K129" s="544"/>
      <c r="L129" s="544"/>
      <c r="M129" s="278"/>
      <c r="N129" s="278"/>
    </row>
    <row r="130" spans="1:27" ht="80.099999999999994" customHeight="1">
      <c r="A130" s="456"/>
      <c r="C130" s="270"/>
      <c r="D130" s="505"/>
      <c r="E130" s="398"/>
      <c r="F130" s="543"/>
      <c r="G130" s="543"/>
      <c r="H130" s="544"/>
      <c r="I130" s="544"/>
      <c r="J130" s="545"/>
      <c r="K130" s="544"/>
      <c r="L130" s="544"/>
      <c r="M130" s="278"/>
      <c r="N130" s="278"/>
    </row>
    <row r="131" spans="1:27" ht="80.099999999999994" customHeight="1">
      <c r="A131" s="456"/>
      <c r="C131" s="270"/>
      <c r="D131" s="505"/>
      <c r="E131" s="398"/>
      <c r="F131" s="543"/>
      <c r="G131" s="543"/>
      <c r="H131" s="544"/>
      <c r="I131" s="544"/>
      <c r="J131" s="545"/>
      <c r="K131" s="544"/>
      <c r="L131" s="544"/>
      <c r="M131" s="278"/>
      <c r="N131" s="278"/>
    </row>
    <row r="132" spans="1:27" ht="80.099999999999994" customHeight="1">
      <c r="A132" s="456"/>
      <c r="C132" s="270"/>
      <c r="D132" s="505"/>
      <c r="E132" s="398"/>
      <c r="F132" s="543"/>
      <c r="G132" s="543"/>
      <c r="H132" s="544"/>
      <c r="I132" s="544"/>
      <c r="J132" s="545"/>
      <c r="K132" s="544"/>
      <c r="L132" s="544"/>
      <c r="M132" s="278"/>
      <c r="N132" s="278"/>
    </row>
    <row r="133" spans="1:27" ht="136.5" customHeight="1">
      <c r="A133" s="456"/>
      <c r="B133" s="485"/>
      <c r="C133" s="270"/>
      <c r="D133" s="505"/>
      <c r="E133" s="398"/>
      <c r="F133" s="546"/>
      <c r="G133" s="543"/>
      <c r="H133" s="544"/>
      <c r="I133" s="544"/>
      <c r="J133" s="547"/>
      <c r="K133" s="544"/>
      <c r="L133" s="544"/>
      <c r="M133" s="278"/>
      <c r="N133" s="278"/>
    </row>
    <row r="134" spans="1:27" s="559" customFormat="1" ht="80.099999999999994" customHeight="1">
      <c r="A134" s="548"/>
      <c r="B134" s="549"/>
      <c r="C134" s="550"/>
      <c r="D134" s="551"/>
      <c r="E134" s="552"/>
      <c r="F134" s="553"/>
      <c r="G134" s="553"/>
      <c r="H134" s="554"/>
      <c r="I134" s="555"/>
      <c r="J134" s="555"/>
      <c r="K134" s="553"/>
      <c r="L134" s="554"/>
      <c r="M134" s="556"/>
      <c r="N134" s="556"/>
      <c r="O134" s="557"/>
      <c r="P134" s="558"/>
      <c r="Q134" s="558"/>
      <c r="R134" s="557"/>
      <c r="S134" s="557"/>
      <c r="T134" s="557"/>
      <c r="U134" s="558"/>
      <c r="V134" s="558"/>
      <c r="W134" s="558"/>
      <c r="X134" s="558"/>
      <c r="Y134" s="558"/>
      <c r="Z134" s="558"/>
      <c r="AA134" s="558"/>
    </row>
    <row r="135" spans="1:27" s="571" customFormat="1" ht="64.5" customHeight="1">
      <c r="A135" s="560"/>
      <c r="B135" s="561"/>
      <c r="C135" s="562"/>
      <c r="D135" s="563"/>
      <c r="E135" s="563"/>
      <c r="F135" s="564" t="s">
        <v>62</v>
      </c>
      <c r="G135" s="564"/>
      <c r="H135" s="565"/>
      <c r="I135" s="566" t="s">
        <v>63</v>
      </c>
      <c r="J135" s="566"/>
      <c r="K135" s="567"/>
      <c r="L135" s="567"/>
      <c r="M135" s="568"/>
      <c r="N135" s="568"/>
      <c r="O135" s="569"/>
      <c r="P135" s="570"/>
      <c r="Q135" s="570"/>
      <c r="R135" s="569"/>
      <c r="S135" s="569"/>
      <c r="T135" s="569"/>
      <c r="U135" s="570"/>
      <c r="V135" s="570"/>
      <c r="W135" s="570"/>
      <c r="X135" s="570"/>
      <c r="Y135" s="570"/>
      <c r="Z135" s="570"/>
      <c r="AA135" s="570"/>
    </row>
    <row r="136" spans="1:27" s="571" customFormat="1" ht="64.5" customHeight="1">
      <c r="A136" s="560"/>
      <c r="B136" s="572"/>
      <c r="C136" s="562"/>
      <c r="D136" s="563"/>
      <c r="E136" s="563"/>
      <c r="F136" s="564"/>
      <c r="G136" s="564"/>
      <c r="H136" s="565"/>
      <c r="I136" s="564"/>
      <c r="J136" s="564"/>
      <c r="K136" s="567"/>
      <c r="L136" s="567"/>
      <c r="M136" s="568"/>
      <c r="N136" s="568"/>
      <c r="O136" s="569"/>
      <c r="P136" s="570"/>
      <c r="Q136" s="570"/>
      <c r="R136" s="569"/>
      <c r="S136" s="569"/>
      <c r="T136" s="569"/>
      <c r="U136" s="570"/>
      <c r="V136" s="570"/>
      <c r="W136" s="570"/>
      <c r="X136" s="570"/>
      <c r="Y136" s="570"/>
      <c r="Z136" s="570"/>
      <c r="AA136" s="570"/>
    </row>
    <row r="137" spans="1:27" s="582" customFormat="1" ht="54.75" customHeight="1">
      <c r="A137" s="573"/>
      <c r="B137" s="574"/>
      <c r="C137" s="575"/>
      <c r="D137" s="576"/>
      <c r="E137" s="577"/>
      <c r="F137" s="578"/>
      <c r="G137" s="578"/>
      <c r="H137" s="544"/>
      <c r="I137" s="544"/>
      <c r="J137" s="545"/>
      <c r="K137" s="544"/>
      <c r="L137" s="544"/>
      <c r="M137" s="579"/>
      <c r="N137" s="579"/>
      <c r="O137" s="580"/>
      <c r="P137" s="581"/>
      <c r="Q137" s="581"/>
      <c r="R137" s="207"/>
      <c r="S137" s="580"/>
      <c r="T137" s="580"/>
      <c r="U137" s="581"/>
      <c r="V137" s="581"/>
      <c r="W137" s="581"/>
      <c r="X137" s="581"/>
      <c r="Y137" s="581"/>
      <c r="Z137" s="581"/>
      <c r="AA137" s="581"/>
    </row>
    <row r="138" spans="1:27" ht="61.5" customHeight="1">
      <c r="A138" s="456"/>
      <c r="B138" s="485"/>
      <c r="C138" s="486"/>
      <c r="D138" s="576" t="s">
        <v>162</v>
      </c>
      <c r="E138" s="398"/>
      <c r="F138" s="543"/>
      <c r="G138" s="543"/>
      <c r="H138" s="544"/>
      <c r="I138" s="544"/>
      <c r="J138" s="545"/>
      <c r="K138" s="544"/>
      <c r="L138" s="544"/>
      <c r="M138" s="278"/>
      <c r="N138" s="278"/>
    </row>
    <row r="139" spans="1:27" ht="54.75" customHeight="1" thickBot="1">
      <c r="A139" s="456"/>
      <c r="B139" s="456"/>
      <c r="C139" s="583"/>
      <c r="D139" s="584"/>
      <c r="E139" s="585"/>
      <c r="F139" s="586"/>
      <c r="G139" s="586"/>
      <c r="H139" s="587"/>
      <c r="I139" s="587"/>
      <c r="J139" s="588"/>
      <c r="K139" s="587"/>
      <c r="L139" s="587"/>
      <c r="M139" s="589"/>
      <c r="N139" s="278"/>
    </row>
    <row r="140" spans="1:27" ht="14.25" customHeight="1" thickTop="1" thickBot="1">
      <c r="A140" s="456"/>
      <c r="B140" s="583"/>
      <c r="C140" s="590"/>
      <c r="D140" s="584"/>
      <c r="E140" s="585"/>
      <c r="F140" s="586"/>
      <c r="G140" s="586"/>
      <c r="H140" s="587"/>
      <c r="I140" s="587"/>
      <c r="J140" s="588"/>
      <c r="K140" s="587"/>
      <c r="L140" s="587"/>
      <c r="M140" s="585"/>
      <c r="N140" s="589"/>
    </row>
    <row r="141" spans="1:27" ht="17.25" customHeight="1" thickTop="1"/>
  </sheetData>
  <mergeCells count="8">
    <mergeCell ref="I134:J134"/>
    <mergeCell ref="I135:J135"/>
    <mergeCell ref="C3:M3"/>
    <mergeCell ref="C4:M4"/>
    <mergeCell ref="C5:M5"/>
    <mergeCell ref="H6:L6"/>
    <mergeCell ref="D124:L124"/>
    <mergeCell ref="D125:L125"/>
  </mergeCells>
  <pageMargins left="0.16" right="0.16" top="0.22" bottom="0.17" header="0.27559055118110198" footer="0.31496062992126"/>
  <pageSetup paperSize="9" scale="17" orientation="portrait" r:id="rId1"/>
  <headerFooter alignWithMargins="0"/>
  <rowBreaks count="1" manualBreakCount="1">
    <brk id="66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M51"/>
  <sheetViews>
    <sheetView view="pageBreakPreview" zoomScale="61" zoomScaleSheetLayoutView="61" workbookViewId="0">
      <selection activeCell="A2" sqref="A2:F2"/>
    </sheetView>
  </sheetViews>
  <sheetFormatPr defaultRowHeight="31.5"/>
  <cols>
    <col min="1" max="1" width="6.140625" style="648" customWidth="1"/>
    <col min="2" max="3" width="9.140625" style="648"/>
    <col min="4" max="4" width="52.85546875" style="648" customWidth="1"/>
    <col min="5" max="5" width="51.42578125" style="648" bestFit="1" customWidth="1"/>
    <col min="6" max="6" width="52.5703125" style="648" bestFit="1" customWidth="1"/>
    <col min="7" max="7" width="6.140625" style="592" customWidth="1"/>
    <col min="8" max="9" width="9.140625" style="600"/>
    <col min="10" max="10" width="21.5703125" style="600" customWidth="1"/>
    <col min="11" max="256" width="9.140625" style="600"/>
    <col min="257" max="257" width="3.140625" style="600" customWidth="1"/>
    <col min="258" max="259" width="9.140625" style="600"/>
    <col min="260" max="260" width="39" style="600" customWidth="1"/>
    <col min="261" max="261" width="26.28515625" style="600" customWidth="1"/>
    <col min="262" max="262" width="29.28515625" style="600" customWidth="1"/>
    <col min="263" max="263" width="5.28515625" style="600" customWidth="1"/>
    <col min="264" max="512" width="9.140625" style="600"/>
    <col min="513" max="513" width="3.140625" style="600" customWidth="1"/>
    <col min="514" max="515" width="9.140625" style="600"/>
    <col min="516" max="516" width="39" style="600" customWidth="1"/>
    <col min="517" max="517" width="26.28515625" style="600" customWidth="1"/>
    <col min="518" max="518" width="29.28515625" style="600" customWidth="1"/>
    <col min="519" max="519" width="5.28515625" style="600" customWidth="1"/>
    <col min="520" max="768" width="9.140625" style="600"/>
    <col min="769" max="769" width="3.140625" style="600" customWidth="1"/>
    <col min="770" max="771" width="9.140625" style="600"/>
    <col min="772" max="772" width="39" style="600" customWidth="1"/>
    <col min="773" max="773" width="26.28515625" style="600" customWidth="1"/>
    <col min="774" max="774" width="29.28515625" style="600" customWidth="1"/>
    <col min="775" max="775" width="5.28515625" style="600" customWidth="1"/>
    <col min="776" max="1024" width="9.140625" style="600"/>
    <col min="1025" max="1025" width="3.140625" style="600" customWidth="1"/>
    <col min="1026" max="1027" width="9.140625" style="600"/>
    <col min="1028" max="1028" width="39" style="600" customWidth="1"/>
    <col min="1029" max="1029" width="26.28515625" style="600" customWidth="1"/>
    <col min="1030" max="1030" width="29.28515625" style="600" customWidth="1"/>
    <col min="1031" max="1031" width="5.28515625" style="600" customWidth="1"/>
    <col min="1032" max="1280" width="9.140625" style="600"/>
    <col min="1281" max="1281" width="3.140625" style="600" customWidth="1"/>
    <col min="1282" max="1283" width="9.140625" style="600"/>
    <col min="1284" max="1284" width="39" style="600" customWidth="1"/>
    <col min="1285" max="1285" width="26.28515625" style="600" customWidth="1"/>
    <col min="1286" max="1286" width="29.28515625" style="600" customWidth="1"/>
    <col min="1287" max="1287" width="5.28515625" style="600" customWidth="1"/>
    <col min="1288" max="1536" width="9.140625" style="600"/>
    <col min="1537" max="1537" width="3.140625" style="600" customWidth="1"/>
    <col min="1538" max="1539" width="9.140625" style="600"/>
    <col min="1540" max="1540" width="39" style="600" customWidth="1"/>
    <col min="1541" max="1541" width="26.28515625" style="600" customWidth="1"/>
    <col min="1542" max="1542" width="29.28515625" style="600" customWidth="1"/>
    <col min="1543" max="1543" width="5.28515625" style="600" customWidth="1"/>
    <col min="1544" max="1792" width="9.140625" style="600"/>
    <col min="1793" max="1793" width="3.140625" style="600" customWidth="1"/>
    <col min="1794" max="1795" width="9.140625" style="600"/>
    <col min="1796" max="1796" width="39" style="600" customWidth="1"/>
    <col min="1797" max="1797" width="26.28515625" style="600" customWidth="1"/>
    <col min="1798" max="1798" width="29.28515625" style="600" customWidth="1"/>
    <col min="1799" max="1799" width="5.28515625" style="600" customWidth="1"/>
    <col min="1800" max="2048" width="9.140625" style="600"/>
    <col min="2049" max="2049" width="3.140625" style="600" customWidth="1"/>
    <col min="2050" max="2051" width="9.140625" style="600"/>
    <col min="2052" max="2052" width="39" style="600" customWidth="1"/>
    <col min="2053" max="2053" width="26.28515625" style="600" customWidth="1"/>
    <col min="2054" max="2054" width="29.28515625" style="600" customWidth="1"/>
    <col min="2055" max="2055" width="5.28515625" style="600" customWidth="1"/>
    <col min="2056" max="2304" width="9.140625" style="600"/>
    <col min="2305" max="2305" width="3.140625" style="600" customWidth="1"/>
    <col min="2306" max="2307" width="9.140625" style="600"/>
    <col min="2308" max="2308" width="39" style="600" customWidth="1"/>
    <col min="2309" max="2309" width="26.28515625" style="600" customWidth="1"/>
    <col min="2310" max="2310" width="29.28515625" style="600" customWidth="1"/>
    <col min="2311" max="2311" width="5.28515625" style="600" customWidth="1"/>
    <col min="2312" max="2560" width="9.140625" style="600"/>
    <col min="2561" max="2561" width="3.140625" style="600" customWidth="1"/>
    <col min="2562" max="2563" width="9.140625" style="600"/>
    <col min="2564" max="2564" width="39" style="600" customWidth="1"/>
    <col min="2565" max="2565" width="26.28515625" style="600" customWidth="1"/>
    <col min="2566" max="2566" width="29.28515625" style="600" customWidth="1"/>
    <col min="2567" max="2567" width="5.28515625" style="600" customWidth="1"/>
    <col min="2568" max="2816" width="9.140625" style="600"/>
    <col min="2817" max="2817" width="3.140625" style="600" customWidth="1"/>
    <col min="2818" max="2819" width="9.140625" style="600"/>
    <col min="2820" max="2820" width="39" style="600" customWidth="1"/>
    <col min="2821" max="2821" width="26.28515625" style="600" customWidth="1"/>
    <col min="2822" max="2822" width="29.28515625" style="600" customWidth="1"/>
    <col min="2823" max="2823" width="5.28515625" style="600" customWidth="1"/>
    <col min="2824" max="3072" width="9.140625" style="600"/>
    <col min="3073" max="3073" width="3.140625" style="600" customWidth="1"/>
    <col min="3074" max="3075" width="9.140625" style="600"/>
    <col min="3076" max="3076" width="39" style="600" customWidth="1"/>
    <col min="3077" max="3077" width="26.28515625" style="600" customWidth="1"/>
    <col min="3078" max="3078" width="29.28515625" style="600" customWidth="1"/>
    <col min="3079" max="3079" width="5.28515625" style="600" customWidth="1"/>
    <col min="3080" max="3328" width="9.140625" style="600"/>
    <col min="3329" max="3329" width="3.140625" style="600" customWidth="1"/>
    <col min="3330" max="3331" width="9.140625" style="600"/>
    <col min="3332" max="3332" width="39" style="600" customWidth="1"/>
    <col min="3333" max="3333" width="26.28515625" style="600" customWidth="1"/>
    <col min="3334" max="3334" width="29.28515625" style="600" customWidth="1"/>
    <col min="3335" max="3335" width="5.28515625" style="600" customWidth="1"/>
    <col min="3336" max="3584" width="9.140625" style="600"/>
    <col min="3585" max="3585" width="3.140625" style="600" customWidth="1"/>
    <col min="3586" max="3587" width="9.140625" style="600"/>
    <col min="3588" max="3588" width="39" style="600" customWidth="1"/>
    <col min="3589" max="3589" width="26.28515625" style="600" customWidth="1"/>
    <col min="3590" max="3590" width="29.28515625" style="600" customWidth="1"/>
    <col min="3591" max="3591" width="5.28515625" style="600" customWidth="1"/>
    <col min="3592" max="3840" width="9.140625" style="600"/>
    <col min="3841" max="3841" width="3.140625" style="600" customWidth="1"/>
    <col min="3842" max="3843" width="9.140625" style="600"/>
    <col min="3844" max="3844" width="39" style="600" customWidth="1"/>
    <col min="3845" max="3845" width="26.28515625" style="600" customWidth="1"/>
    <col min="3846" max="3846" width="29.28515625" style="600" customWidth="1"/>
    <col min="3847" max="3847" width="5.28515625" style="600" customWidth="1"/>
    <col min="3848" max="4096" width="9.140625" style="600"/>
    <col min="4097" max="4097" width="3.140625" style="600" customWidth="1"/>
    <col min="4098" max="4099" width="9.140625" style="600"/>
    <col min="4100" max="4100" width="39" style="600" customWidth="1"/>
    <col min="4101" max="4101" width="26.28515625" style="600" customWidth="1"/>
    <col min="4102" max="4102" width="29.28515625" style="600" customWidth="1"/>
    <col min="4103" max="4103" width="5.28515625" style="600" customWidth="1"/>
    <col min="4104" max="4352" width="9.140625" style="600"/>
    <col min="4353" max="4353" width="3.140625" style="600" customWidth="1"/>
    <col min="4354" max="4355" width="9.140625" style="600"/>
    <col min="4356" max="4356" width="39" style="600" customWidth="1"/>
    <col min="4357" max="4357" width="26.28515625" style="600" customWidth="1"/>
    <col min="4358" max="4358" width="29.28515625" style="600" customWidth="1"/>
    <col min="4359" max="4359" width="5.28515625" style="600" customWidth="1"/>
    <col min="4360" max="4608" width="9.140625" style="600"/>
    <col min="4609" max="4609" width="3.140625" style="600" customWidth="1"/>
    <col min="4610" max="4611" width="9.140625" style="600"/>
    <col min="4612" max="4612" width="39" style="600" customWidth="1"/>
    <col min="4613" max="4613" width="26.28515625" style="600" customWidth="1"/>
    <col min="4614" max="4614" width="29.28515625" style="600" customWidth="1"/>
    <col min="4615" max="4615" width="5.28515625" style="600" customWidth="1"/>
    <col min="4616" max="4864" width="9.140625" style="600"/>
    <col min="4865" max="4865" width="3.140625" style="600" customWidth="1"/>
    <col min="4866" max="4867" width="9.140625" style="600"/>
    <col min="4868" max="4868" width="39" style="600" customWidth="1"/>
    <col min="4869" max="4869" width="26.28515625" style="600" customWidth="1"/>
    <col min="4870" max="4870" width="29.28515625" style="600" customWidth="1"/>
    <col min="4871" max="4871" width="5.28515625" style="600" customWidth="1"/>
    <col min="4872" max="5120" width="9.140625" style="600"/>
    <col min="5121" max="5121" width="3.140625" style="600" customWidth="1"/>
    <col min="5122" max="5123" width="9.140625" style="600"/>
    <col min="5124" max="5124" width="39" style="600" customWidth="1"/>
    <col min="5125" max="5125" width="26.28515625" style="600" customWidth="1"/>
    <col min="5126" max="5126" width="29.28515625" style="600" customWidth="1"/>
    <col min="5127" max="5127" width="5.28515625" style="600" customWidth="1"/>
    <col min="5128" max="5376" width="9.140625" style="600"/>
    <col min="5377" max="5377" width="3.140625" style="600" customWidth="1"/>
    <col min="5378" max="5379" width="9.140625" style="600"/>
    <col min="5380" max="5380" width="39" style="600" customWidth="1"/>
    <col min="5381" max="5381" width="26.28515625" style="600" customWidth="1"/>
    <col min="5382" max="5382" width="29.28515625" style="600" customWidth="1"/>
    <col min="5383" max="5383" width="5.28515625" style="600" customWidth="1"/>
    <col min="5384" max="5632" width="9.140625" style="600"/>
    <col min="5633" max="5633" width="3.140625" style="600" customWidth="1"/>
    <col min="5634" max="5635" width="9.140625" style="600"/>
    <col min="5636" max="5636" width="39" style="600" customWidth="1"/>
    <col min="5637" max="5637" width="26.28515625" style="600" customWidth="1"/>
    <col min="5638" max="5638" width="29.28515625" style="600" customWidth="1"/>
    <col min="5639" max="5639" width="5.28515625" style="600" customWidth="1"/>
    <col min="5640" max="5888" width="9.140625" style="600"/>
    <col min="5889" max="5889" width="3.140625" style="600" customWidth="1"/>
    <col min="5890" max="5891" width="9.140625" style="600"/>
    <col min="5892" max="5892" width="39" style="600" customWidth="1"/>
    <col min="5893" max="5893" width="26.28515625" style="600" customWidth="1"/>
    <col min="5894" max="5894" width="29.28515625" style="600" customWidth="1"/>
    <col min="5895" max="5895" width="5.28515625" style="600" customWidth="1"/>
    <col min="5896" max="6144" width="9.140625" style="600"/>
    <col min="6145" max="6145" width="3.140625" style="600" customWidth="1"/>
    <col min="6146" max="6147" width="9.140625" style="600"/>
    <col min="6148" max="6148" width="39" style="600" customWidth="1"/>
    <col min="6149" max="6149" width="26.28515625" style="600" customWidth="1"/>
    <col min="6150" max="6150" width="29.28515625" style="600" customWidth="1"/>
    <col min="6151" max="6151" width="5.28515625" style="600" customWidth="1"/>
    <col min="6152" max="6400" width="9.140625" style="600"/>
    <col min="6401" max="6401" width="3.140625" style="600" customWidth="1"/>
    <col min="6402" max="6403" width="9.140625" style="600"/>
    <col min="6404" max="6404" width="39" style="600" customWidth="1"/>
    <col min="6405" max="6405" width="26.28515625" style="600" customWidth="1"/>
    <col min="6406" max="6406" width="29.28515625" style="600" customWidth="1"/>
    <col min="6407" max="6407" width="5.28515625" style="600" customWidth="1"/>
    <col min="6408" max="6656" width="9.140625" style="600"/>
    <col min="6657" max="6657" width="3.140625" style="600" customWidth="1"/>
    <col min="6658" max="6659" width="9.140625" style="600"/>
    <col min="6660" max="6660" width="39" style="600" customWidth="1"/>
    <col min="6661" max="6661" width="26.28515625" style="600" customWidth="1"/>
    <col min="6662" max="6662" width="29.28515625" style="600" customWidth="1"/>
    <col min="6663" max="6663" width="5.28515625" style="600" customWidth="1"/>
    <col min="6664" max="6912" width="9.140625" style="600"/>
    <col min="6913" max="6913" width="3.140625" style="600" customWidth="1"/>
    <col min="6914" max="6915" width="9.140625" style="600"/>
    <col min="6916" max="6916" width="39" style="600" customWidth="1"/>
    <col min="6917" max="6917" width="26.28515625" style="600" customWidth="1"/>
    <col min="6918" max="6918" width="29.28515625" style="600" customWidth="1"/>
    <col min="6919" max="6919" width="5.28515625" style="600" customWidth="1"/>
    <col min="6920" max="7168" width="9.140625" style="600"/>
    <col min="7169" max="7169" width="3.140625" style="600" customWidth="1"/>
    <col min="7170" max="7171" width="9.140625" style="600"/>
    <col min="7172" max="7172" width="39" style="600" customWidth="1"/>
    <col min="7173" max="7173" width="26.28515625" style="600" customWidth="1"/>
    <col min="7174" max="7174" width="29.28515625" style="600" customWidth="1"/>
    <col min="7175" max="7175" width="5.28515625" style="600" customWidth="1"/>
    <col min="7176" max="7424" width="9.140625" style="600"/>
    <col min="7425" max="7425" width="3.140625" style="600" customWidth="1"/>
    <col min="7426" max="7427" width="9.140625" style="600"/>
    <col min="7428" max="7428" width="39" style="600" customWidth="1"/>
    <col min="7429" max="7429" width="26.28515625" style="600" customWidth="1"/>
    <col min="7430" max="7430" width="29.28515625" style="600" customWidth="1"/>
    <col min="7431" max="7431" width="5.28515625" style="600" customWidth="1"/>
    <col min="7432" max="7680" width="9.140625" style="600"/>
    <col min="7681" max="7681" width="3.140625" style="600" customWidth="1"/>
    <col min="7682" max="7683" width="9.140625" style="600"/>
    <col min="7684" max="7684" width="39" style="600" customWidth="1"/>
    <col min="7685" max="7685" width="26.28515625" style="600" customWidth="1"/>
    <col min="7686" max="7686" width="29.28515625" style="600" customWidth="1"/>
    <col min="7687" max="7687" width="5.28515625" style="600" customWidth="1"/>
    <col min="7688" max="7936" width="9.140625" style="600"/>
    <col min="7937" max="7937" width="3.140625" style="600" customWidth="1"/>
    <col min="7938" max="7939" width="9.140625" style="600"/>
    <col min="7940" max="7940" width="39" style="600" customWidth="1"/>
    <col min="7941" max="7941" width="26.28515625" style="600" customWidth="1"/>
    <col min="7942" max="7942" width="29.28515625" style="600" customWidth="1"/>
    <col min="7943" max="7943" width="5.28515625" style="600" customWidth="1"/>
    <col min="7944" max="8192" width="9.140625" style="600"/>
    <col min="8193" max="8193" width="3.140625" style="600" customWidth="1"/>
    <col min="8194" max="8195" width="9.140625" style="600"/>
    <col min="8196" max="8196" width="39" style="600" customWidth="1"/>
    <col min="8197" max="8197" width="26.28515625" style="600" customWidth="1"/>
    <col min="8198" max="8198" width="29.28515625" style="600" customWidth="1"/>
    <col min="8199" max="8199" width="5.28515625" style="600" customWidth="1"/>
    <col min="8200" max="8448" width="9.140625" style="600"/>
    <col min="8449" max="8449" width="3.140625" style="600" customWidth="1"/>
    <col min="8450" max="8451" width="9.140625" style="600"/>
    <col min="8452" max="8452" width="39" style="600" customWidth="1"/>
    <col min="8453" max="8453" width="26.28515625" style="600" customWidth="1"/>
    <col min="8454" max="8454" width="29.28515625" style="600" customWidth="1"/>
    <col min="8455" max="8455" width="5.28515625" style="600" customWidth="1"/>
    <col min="8456" max="8704" width="9.140625" style="600"/>
    <col min="8705" max="8705" width="3.140625" style="600" customWidth="1"/>
    <col min="8706" max="8707" width="9.140625" style="600"/>
    <col min="8708" max="8708" width="39" style="600" customWidth="1"/>
    <col min="8709" max="8709" width="26.28515625" style="600" customWidth="1"/>
    <col min="8710" max="8710" width="29.28515625" style="600" customWidth="1"/>
    <col min="8711" max="8711" width="5.28515625" style="600" customWidth="1"/>
    <col min="8712" max="8960" width="9.140625" style="600"/>
    <col min="8961" max="8961" width="3.140625" style="600" customWidth="1"/>
    <col min="8962" max="8963" width="9.140625" style="600"/>
    <col min="8964" max="8964" width="39" style="600" customWidth="1"/>
    <col min="8965" max="8965" width="26.28515625" style="600" customWidth="1"/>
    <col min="8966" max="8966" width="29.28515625" style="600" customWidth="1"/>
    <col min="8967" max="8967" width="5.28515625" style="600" customWidth="1"/>
    <col min="8968" max="9216" width="9.140625" style="600"/>
    <col min="9217" max="9217" width="3.140625" style="600" customWidth="1"/>
    <col min="9218" max="9219" width="9.140625" style="600"/>
    <col min="9220" max="9220" width="39" style="600" customWidth="1"/>
    <col min="9221" max="9221" width="26.28515625" style="600" customWidth="1"/>
    <col min="9222" max="9222" width="29.28515625" style="600" customWidth="1"/>
    <col min="9223" max="9223" width="5.28515625" style="600" customWidth="1"/>
    <col min="9224" max="9472" width="9.140625" style="600"/>
    <col min="9473" max="9473" width="3.140625" style="600" customWidth="1"/>
    <col min="9474" max="9475" width="9.140625" style="600"/>
    <col min="9476" max="9476" width="39" style="600" customWidth="1"/>
    <col min="9477" max="9477" width="26.28515625" style="600" customWidth="1"/>
    <col min="9478" max="9478" width="29.28515625" style="600" customWidth="1"/>
    <col min="9479" max="9479" width="5.28515625" style="600" customWidth="1"/>
    <col min="9480" max="9728" width="9.140625" style="600"/>
    <col min="9729" max="9729" width="3.140625" style="600" customWidth="1"/>
    <col min="9730" max="9731" width="9.140625" style="600"/>
    <col min="9732" max="9732" width="39" style="600" customWidth="1"/>
    <col min="9733" max="9733" width="26.28515625" style="600" customWidth="1"/>
    <col min="9734" max="9734" width="29.28515625" style="600" customWidth="1"/>
    <col min="9735" max="9735" width="5.28515625" style="600" customWidth="1"/>
    <col min="9736" max="9984" width="9.140625" style="600"/>
    <col min="9985" max="9985" width="3.140625" style="600" customWidth="1"/>
    <col min="9986" max="9987" width="9.140625" style="600"/>
    <col min="9988" max="9988" width="39" style="600" customWidth="1"/>
    <col min="9989" max="9989" width="26.28515625" style="600" customWidth="1"/>
    <col min="9990" max="9990" width="29.28515625" style="600" customWidth="1"/>
    <col min="9991" max="9991" width="5.28515625" style="600" customWidth="1"/>
    <col min="9992" max="10240" width="9.140625" style="600"/>
    <col min="10241" max="10241" width="3.140625" style="600" customWidth="1"/>
    <col min="10242" max="10243" width="9.140625" style="600"/>
    <col min="10244" max="10244" width="39" style="600" customWidth="1"/>
    <col min="10245" max="10245" width="26.28515625" style="600" customWidth="1"/>
    <col min="10246" max="10246" width="29.28515625" style="600" customWidth="1"/>
    <col min="10247" max="10247" width="5.28515625" style="600" customWidth="1"/>
    <col min="10248" max="10496" width="9.140625" style="600"/>
    <col min="10497" max="10497" width="3.140625" style="600" customWidth="1"/>
    <col min="10498" max="10499" width="9.140625" style="600"/>
    <col min="10500" max="10500" width="39" style="600" customWidth="1"/>
    <col min="10501" max="10501" width="26.28515625" style="600" customWidth="1"/>
    <col min="10502" max="10502" width="29.28515625" style="600" customWidth="1"/>
    <col min="10503" max="10503" width="5.28515625" style="600" customWidth="1"/>
    <col min="10504" max="10752" width="9.140625" style="600"/>
    <col min="10753" max="10753" width="3.140625" style="600" customWidth="1"/>
    <col min="10754" max="10755" width="9.140625" style="600"/>
    <col min="10756" max="10756" width="39" style="600" customWidth="1"/>
    <col min="10757" max="10757" width="26.28515625" style="600" customWidth="1"/>
    <col min="10758" max="10758" width="29.28515625" style="600" customWidth="1"/>
    <col min="10759" max="10759" width="5.28515625" style="600" customWidth="1"/>
    <col min="10760" max="11008" width="9.140625" style="600"/>
    <col min="11009" max="11009" width="3.140625" style="600" customWidth="1"/>
    <col min="11010" max="11011" width="9.140625" style="600"/>
    <col min="11012" max="11012" width="39" style="600" customWidth="1"/>
    <col min="11013" max="11013" width="26.28515625" style="600" customWidth="1"/>
    <col min="11014" max="11014" width="29.28515625" style="600" customWidth="1"/>
    <col min="11015" max="11015" width="5.28515625" style="600" customWidth="1"/>
    <col min="11016" max="11264" width="9.140625" style="600"/>
    <col min="11265" max="11265" width="3.140625" style="600" customWidth="1"/>
    <col min="11266" max="11267" width="9.140625" style="600"/>
    <col min="11268" max="11268" width="39" style="600" customWidth="1"/>
    <col min="11269" max="11269" width="26.28515625" style="600" customWidth="1"/>
    <col min="11270" max="11270" width="29.28515625" style="600" customWidth="1"/>
    <col min="11271" max="11271" width="5.28515625" style="600" customWidth="1"/>
    <col min="11272" max="11520" width="9.140625" style="600"/>
    <col min="11521" max="11521" width="3.140625" style="600" customWidth="1"/>
    <col min="11522" max="11523" width="9.140625" style="600"/>
    <col min="11524" max="11524" width="39" style="600" customWidth="1"/>
    <col min="11525" max="11525" width="26.28515625" style="600" customWidth="1"/>
    <col min="11526" max="11526" width="29.28515625" style="600" customWidth="1"/>
    <col min="11527" max="11527" width="5.28515625" style="600" customWidth="1"/>
    <col min="11528" max="11776" width="9.140625" style="600"/>
    <col min="11777" max="11777" width="3.140625" style="600" customWidth="1"/>
    <col min="11778" max="11779" width="9.140625" style="600"/>
    <col min="11780" max="11780" width="39" style="600" customWidth="1"/>
    <col min="11781" max="11781" width="26.28515625" style="600" customWidth="1"/>
    <col min="11782" max="11782" width="29.28515625" style="600" customWidth="1"/>
    <col min="11783" max="11783" width="5.28515625" style="600" customWidth="1"/>
    <col min="11784" max="12032" width="9.140625" style="600"/>
    <col min="12033" max="12033" width="3.140625" style="600" customWidth="1"/>
    <col min="12034" max="12035" width="9.140625" style="600"/>
    <col min="12036" max="12036" width="39" style="600" customWidth="1"/>
    <col min="12037" max="12037" width="26.28515625" style="600" customWidth="1"/>
    <col min="12038" max="12038" width="29.28515625" style="600" customWidth="1"/>
    <col min="12039" max="12039" width="5.28515625" style="600" customWidth="1"/>
    <col min="12040" max="12288" width="9.140625" style="600"/>
    <col min="12289" max="12289" width="3.140625" style="600" customWidth="1"/>
    <col min="12290" max="12291" width="9.140625" style="600"/>
    <col min="12292" max="12292" width="39" style="600" customWidth="1"/>
    <col min="12293" max="12293" width="26.28515625" style="600" customWidth="1"/>
    <col min="12294" max="12294" width="29.28515625" style="600" customWidth="1"/>
    <col min="12295" max="12295" width="5.28515625" style="600" customWidth="1"/>
    <col min="12296" max="12544" width="9.140625" style="600"/>
    <col min="12545" max="12545" width="3.140625" style="600" customWidth="1"/>
    <col min="12546" max="12547" width="9.140625" style="600"/>
    <col min="12548" max="12548" width="39" style="600" customWidth="1"/>
    <col min="12549" max="12549" width="26.28515625" style="600" customWidth="1"/>
    <col min="12550" max="12550" width="29.28515625" style="600" customWidth="1"/>
    <col min="12551" max="12551" width="5.28515625" style="600" customWidth="1"/>
    <col min="12552" max="12800" width="9.140625" style="600"/>
    <col min="12801" max="12801" width="3.140625" style="600" customWidth="1"/>
    <col min="12802" max="12803" width="9.140625" style="600"/>
    <col min="12804" max="12804" width="39" style="600" customWidth="1"/>
    <col min="12805" max="12805" width="26.28515625" style="600" customWidth="1"/>
    <col min="12806" max="12806" width="29.28515625" style="600" customWidth="1"/>
    <col min="12807" max="12807" width="5.28515625" style="600" customWidth="1"/>
    <col min="12808" max="13056" width="9.140625" style="600"/>
    <col min="13057" max="13057" width="3.140625" style="600" customWidth="1"/>
    <col min="13058" max="13059" width="9.140625" style="600"/>
    <col min="13060" max="13060" width="39" style="600" customWidth="1"/>
    <col min="13061" max="13061" width="26.28515625" style="600" customWidth="1"/>
    <col min="13062" max="13062" width="29.28515625" style="600" customWidth="1"/>
    <col min="13063" max="13063" width="5.28515625" style="600" customWidth="1"/>
    <col min="13064" max="13312" width="9.140625" style="600"/>
    <col min="13313" max="13313" width="3.140625" style="600" customWidth="1"/>
    <col min="13314" max="13315" width="9.140625" style="600"/>
    <col min="13316" max="13316" width="39" style="600" customWidth="1"/>
    <col min="13317" max="13317" width="26.28515625" style="600" customWidth="1"/>
    <col min="13318" max="13318" width="29.28515625" style="600" customWidth="1"/>
    <col min="13319" max="13319" width="5.28515625" style="600" customWidth="1"/>
    <col min="13320" max="13568" width="9.140625" style="600"/>
    <col min="13569" max="13569" width="3.140625" style="600" customWidth="1"/>
    <col min="13570" max="13571" width="9.140625" style="600"/>
    <col min="13572" max="13572" width="39" style="600" customWidth="1"/>
    <col min="13573" max="13573" width="26.28515625" style="600" customWidth="1"/>
    <col min="13574" max="13574" width="29.28515625" style="600" customWidth="1"/>
    <col min="13575" max="13575" width="5.28515625" style="600" customWidth="1"/>
    <col min="13576" max="13824" width="9.140625" style="600"/>
    <col min="13825" max="13825" width="3.140625" style="600" customWidth="1"/>
    <col min="13826" max="13827" width="9.140625" style="600"/>
    <col min="13828" max="13828" width="39" style="600" customWidth="1"/>
    <col min="13829" max="13829" width="26.28515625" style="600" customWidth="1"/>
    <col min="13830" max="13830" width="29.28515625" style="600" customWidth="1"/>
    <col min="13831" max="13831" width="5.28515625" style="600" customWidth="1"/>
    <col min="13832" max="14080" width="9.140625" style="600"/>
    <col min="14081" max="14081" width="3.140625" style="600" customWidth="1"/>
    <col min="14082" max="14083" width="9.140625" style="600"/>
    <col min="14084" max="14084" width="39" style="600" customWidth="1"/>
    <col min="14085" max="14085" width="26.28515625" style="600" customWidth="1"/>
    <col min="14086" max="14086" width="29.28515625" style="600" customWidth="1"/>
    <col min="14087" max="14087" width="5.28515625" style="600" customWidth="1"/>
    <col min="14088" max="14336" width="9.140625" style="600"/>
    <col min="14337" max="14337" width="3.140625" style="600" customWidth="1"/>
    <col min="14338" max="14339" width="9.140625" style="600"/>
    <col min="14340" max="14340" width="39" style="600" customWidth="1"/>
    <col min="14341" max="14341" width="26.28515625" style="600" customWidth="1"/>
    <col min="14342" max="14342" width="29.28515625" style="600" customWidth="1"/>
    <col min="14343" max="14343" width="5.28515625" style="600" customWidth="1"/>
    <col min="14344" max="14592" width="9.140625" style="600"/>
    <col min="14593" max="14593" width="3.140625" style="600" customWidth="1"/>
    <col min="14594" max="14595" width="9.140625" style="600"/>
    <col min="14596" max="14596" width="39" style="600" customWidth="1"/>
    <col min="14597" max="14597" width="26.28515625" style="600" customWidth="1"/>
    <col min="14598" max="14598" width="29.28515625" style="600" customWidth="1"/>
    <col min="14599" max="14599" width="5.28515625" style="600" customWidth="1"/>
    <col min="14600" max="14848" width="9.140625" style="600"/>
    <col min="14849" max="14849" width="3.140625" style="600" customWidth="1"/>
    <col min="14850" max="14851" width="9.140625" style="600"/>
    <col min="14852" max="14852" width="39" style="600" customWidth="1"/>
    <col min="14853" max="14853" width="26.28515625" style="600" customWidth="1"/>
    <col min="14854" max="14854" width="29.28515625" style="600" customWidth="1"/>
    <col min="14855" max="14855" width="5.28515625" style="600" customWidth="1"/>
    <col min="14856" max="15104" width="9.140625" style="600"/>
    <col min="15105" max="15105" width="3.140625" style="600" customWidth="1"/>
    <col min="15106" max="15107" width="9.140625" style="600"/>
    <col min="15108" max="15108" width="39" style="600" customWidth="1"/>
    <col min="15109" max="15109" width="26.28515625" style="600" customWidth="1"/>
    <col min="15110" max="15110" width="29.28515625" style="600" customWidth="1"/>
    <col min="15111" max="15111" width="5.28515625" style="600" customWidth="1"/>
    <col min="15112" max="15360" width="9.140625" style="600"/>
    <col min="15361" max="15361" width="3.140625" style="600" customWidth="1"/>
    <col min="15362" max="15363" width="9.140625" style="600"/>
    <col min="15364" max="15364" width="39" style="600" customWidth="1"/>
    <col min="15365" max="15365" width="26.28515625" style="600" customWidth="1"/>
    <col min="15366" max="15366" width="29.28515625" style="600" customWidth="1"/>
    <col min="15367" max="15367" width="5.28515625" style="600" customWidth="1"/>
    <col min="15368" max="15616" width="9.140625" style="600"/>
    <col min="15617" max="15617" width="3.140625" style="600" customWidth="1"/>
    <col min="15618" max="15619" width="9.140625" style="600"/>
    <col min="15620" max="15620" width="39" style="600" customWidth="1"/>
    <col min="15621" max="15621" width="26.28515625" style="600" customWidth="1"/>
    <col min="15622" max="15622" width="29.28515625" style="600" customWidth="1"/>
    <col min="15623" max="15623" width="5.28515625" style="600" customWidth="1"/>
    <col min="15624" max="15872" width="9.140625" style="600"/>
    <col min="15873" max="15873" width="3.140625" style="600" customWidth="1"/>
    <col min="15874" max="15875" width="9.140625" style="600"/>
    <col min="15876" max="15876" width="39" style="600" customWidth="1"/>
    <col min="15877" max="15877" width="26.28515625" style="600" customWidth="1"/>
    <col min="15878" max="15878" width="29.28515625" style="600" customWidth="1"/>
    <col min="15879" max="15879" width="5.28515625" style="600" customWidth="1"/>
    <col min="15880" max="16128" width="9.140625" style="600"/>
    <col min="16129" max="16129" width="3.140625" style="600" customWidth="1"/>
    <col min="16130" max="16131" width="9.140625" style="600"/>
    <col min="16132" max="16132" width="39" style="600" customWidth="1"/>
    <col min="16133" max="16133" width="26.28515625" style="600" customWidth="1"/>
    <col min="16134" max="16134" width="29.28515625" style="600" customWidth="1"/>
    <col min="16135" max="16135" width="5.28515625" style="600" customWidth="1"/>
    <col min="16136" max="16384" width="9.140625" style="600"/>
  </cols>
  <sheetData>
    <row r="1" spans="1:10" s="593" customFormat="1" ht="53.25" customHeight="1">
      <c r="A1" s="591"/>
      <c r="B1" s="591"/>
      <c r="C1" s="591"/>
      <c r="D1" s="591"/>
      <c r="E1" s="591"/>
      <c r="F1" s="591"/>
      <c r="G1" s="592"/>
    </row>
    <row r="2" spans="1:10" s="593" customFormat="1" ht="19.5" customHeight="1">
      <c r="A2" s="594"/>
      <c r="B2" s="594"/>
      <c r="C2" s="594"/>
      <c r="D2" s="594"/>
      <c r="E2" s="594"/>
      <c r="F2" s="594"/>
      <c r="G2" s="592"/>
    </row>
    <row r="3" spans="1:10" s="593" customFormat="1" ht="27" customHeight="1">
      <c r="A3" s="595" t="s">
        <v>163</v>
      </c>
      <c r="B3" s="595"/>
      <c r="C3" s="595"/>
      <c r="D3" s="595"/>
      <c r="E3" s="595"/>
      <c r="F3" s="595"/>
      <c r="G3" s="596"/>
    </row>
    <row r="4" spans="1:10" ht="15" customHeight="1">
      <c r="A4" s="597"/>
      <c r="B4" s="597"/>
      <c r="C4" s="598"/>
      <c r="D4" s="598"/>
      <c r="E4" s="598"/>
      <c r="F4" s="599"/>
    </row>
    <row r="5" spans="1:10" ht="30" customHeight="1">
      <c r="A5" s="601" t="s">
        <v>164</v>
      </c>
      <c r="B5" s="602"/>
      <c r="C5" s="603"/>
      <c r="D5" s="603"/>
      <c r="E5" s="603"/>
      <c r="F5" s="604"/>
      <c r="G5" s="592">
        <v>1</v>
      </c>
    </row>
    <row r="6" spans="1:10" s="608" customFormat="1" ht="9.9499999999999993" customHeight="1">
      <c r="A6" s="605"/>
      <c r="B6" s="605"/>
      <c r="C6" s="606"/>
      <c r="D6" s="606"/>
      <c r="E6" s="606"/>
      <c r="F6" s="607"/>
      <c r="G6" s="596"/>
    </row>
    <row r="7" spans="1:10" ht="35.1" customHeight="1">
      <c r="A7" s="609" t="s">
        <v>165</v>
      </c>
      <c r="B7" s="609"/>
      <c r="C7" s="609"/>
      <c r="D7" s="609"/>
      <c r="E7" s="610"/>
      <c r="F7" s="599"/>
    </row>
    <row r="8" spans="1:10" s="593" customFormat="1" ht="39.950000000000003" customHeight="1">
      <c r="A8" s="611" t="s">
        <v>166</v>
      </c>
      <c r="B8" s="611"/>
      <c r="C8" s="611"/>
      <c r="D8" s="611"/>
      <c r="E8" s="612" t="s">
        <v>167</v>
      </c>
      <c r="F8" s="612" t="s">
        <v>168</v>
      </c>
      <c r="G8" s="592"/>
    </row>
    <row r="9" spans="1:10" s="617" customFormat="1" ht="39.950000000000003" customHeight="1">
      <c r="A9" s="613"/>
      <c r="B9" s="614" t="s">
        <v>169</v>
      </c>
      <c r="C9" s="614"/>
      <c r="D9" s="614"/>
      <c r="E9" s="615">
        <f>+F14</f>
        <v>185413</v>
      </c>
      <c r="F9" s="615">
        <v>211576</v>
      </c>
      <c r="G9" s="616"/>
    </row>
    <row r="10" spans="1:10" s="617" customFormat="1" ht="39.950000000000003" customHeight="1">
      <c r="A10" s="613"/>
      <c r="B10" s="614" t="s">
        <v>170</v>
      </c>
      <c r="C10" s="614"/>
      <c r="D10" s="614"/>
      <c r="E10" s="615">
        <f>219450-24000</f>
        <v>195450</v>
      </c>
      <c r="F10" s="615">
        <v>196050</v>
      </c>
      <c r="G10" s="616"/>
      <c r="J10" s="618"/>
    </row>
    <row r="11" spans="1:10" s="617" customFormat="1" ht="39.950000000000003" customHeight="1">
      <c r="A11" s="613"/>
      <c r="B11" s="619" t="s">
        <v>171</v>
      </c>
      <c r="C11" s="619"/>
      <c r="D11" s="619"/>
      <c r="E11" s="615">
        <v>24000</v>
      </c>
      <c r="F11" s="615">
        <v>24000</v>
      </c>
      <c r="G11" s="616"/>
    </row>
    <row r="12" spans="1:10" s="617" customFormat="1" ht="39.950000000000003" customHeight="1">
      <c r="A12" s="613"/>
      <c r="B12" s="614" t="s">
        <v>172</v>
      </c>
      <c r="C12" s="614"/>
      <c r="D12" s="614"/>
      <c r="E12" s="620">
        <f>SUM(E9:E11)</f>
        <v>404863</v>
      </c>
      <c r="F12" s="620">
        <f>SUM(F9:F11)</f>
        <v>431626</v>
      </c>
      <c r="G12" s="616"/>
    </row>
    <row r="13" spans="1:10" s="617" customFormat="1" ht="39.950000000000003" customHeight="1">
      <c r="A13" s="613"/>
      <c r="B13" s="614" t="s">
        <v>173</v>
      </c>
      <c r="C13" s="614"/>
      <c r="D13" s="614"/>
      <c r="E13" s="615">
        <f>287628+17500</f>
        <v>305128</v>
      </c>
      <c r="F13" s="615">
        <v>246213</v>
      </c>
      <c r="G13" s="616"/>
    </row>
    <row r="14" spans="1:10" s="593" customFormat="1" ht="39.950000000000003" customHeight="1" thickBot="1">
      <c r="A14" s="621"/>
      <c r="B14" s="622" t="s">
        <v>174</v>
      </c>
      <c r="C14" s="622"/>
      <c r="D14" s="622"/>
      <c r="E14" s="623">
        <f>+E12-E13</f>
        <v>99735</v>
      </c>
      <c r="F14" s="623">
        <f>+F12-F13</f>
        <v>185413</v>
      </c>
      <c r="G14" s="592"/>
    </row>
    <row r="15" spans="1:10" ht="13.5" customHeight="1" thickTop="1">
      <c r="A15" s="624"/>
      <c r="B15" s="625"/>
      <c r="C15" s="625"/>
      <c r="D15" s="625"/>
      <c r="E15" s="626"/>
      <c r="F15" s="627"/>
    </row>
    <row r="16" spans="1:10" ht="30" customHeight="1">
      <c r="A16" s="601" t="s">
        <v>175</v>
      </c>
      <c r="B16" s="602"/>
      <c r="C16" s="603"/>
      <c r="D16" s="603"/>
      <c r="E16" s="603"/>
      <c r="F16" s="604"/>
      <c r="G16" s="592">
        <v>2</v>
      </c>
    </row>
    <row r="17" spans="1:13" s="608" customFormat="1" ht="10.5" customHeight="1">
      <c r="A17" s="605"/>
      <c r="B17" s="605"/>
      <c r="C17" s="628"/>
      <c r="D17" s="628"/>
      <c r="E17" s="628"/>
      <c r="F17" s="629"/>
      <c r="G17" s="596"/>
    </row>
    <row r="18" spans="1:13" ht="35.1" customHeight="1">
      <c r="A18" s="609" t="s">
        <v>176</v>
      </c>
      <c r="B18" s="609"/>
      <c r="C18" s="609"/>
      <c r="D18" s="609"/>
      <c r="E18" s="598"/>
      <c r="F18" s="599"/>
    </row>
    <row r="19" spans="1:13" s="617" customFormat="1" ht="39.950000000000003" customHeight="1">
      <c r="A19" s="611" t="s">
        <v>166</v>
      </c>
      <c r="B19" s="611"/>
      <c r="C19" s="611"/>
      <c r="D19" s="611"/>
      <c r="E19" s="612" t="s">
        <v>167</v>
      </c>
      <c r="F19" s="612" t="s">
        <v>168</v>
      </c>
      <c r="G19" s="616"/>
    </row>
    <row r="20" spans="1:13" s="617" customFormat="1" ht="39.950000000000003" customHeight="1">
      <c r="A20" s="613"/>
      <c r="B20" s="614" t="s">
        <v>169</v>
      </c>
      <c r="C20" s="614"/>
      <c r="D20" s="614"/>
      <c r="E20" s="630">
        <f>+F23</f>
        <v>266887</v>
      </c>
      <c r="F20" s="630">
        <v>266887</v>
      </c>
      <c r="G20" s="616"/>
      <c r="M20" s="631"/>
    </row>
    <row r="21" spans="1:13" s="617" customFormat="1" ht="39.950000000000003" customHeight="1">
      <c r="A21" s="613"/>
      <c r="B21" s="614" t="s">
        <v>177</v>
      </c>
      <c r="C21" s="614"/>
      <c r="D21" s="614"/>
      <c r="E21" s="630">
        <v>75000</v>
      </c>
      <c r="F21" s="630">
        <v>0</v>
      </c>
      <c r="G21" s="616"/>
    </row>
    <row r="22" spans="1:13" s="617" customFormat="1" ht="39.950000000000003" customHeight="1">
      <c r="A22" s="613"/>
      <c r="B22" s="614" t="s">
        <v>178</v>
      </c>
      <c r="C22" s="614"/>
      <c r="D22" s="614"/>
      <c r="E22" s="615">
        <v>25000</v>
      </c>
      <c r="F22" s="630">
        <v>0</v>
      </c>
      <c r="G22" s="616"/>
    </row>
    <row r="23" spans="1:13" s="617" customFormat="1" ht="39.950000000000003" customHeight="1" thickBot="1">
      <c r="A23" s="632"/>
      <c r="B23" s="622" t="s">
        <v>174</v>
      </c>
      <c r="C23" s="622"/>
      <c r="D23" s="622"/>
      <c r="E23" s="633">
        <f>+E20+E21-E22</f>
        <v>316887</v>
      </c>
      <c r="F23" s="634">
        <f>+F20+F21-F22</f>
        <v>266887</v>
      </c>
      <c r="G23" s="616"/>
      <c r="J23" s="635"/>
    </row>
    <row r="24" spans="1:13" s="639" customFormat="1" ht="11.25" customHeight="1" thickTop="1">
      <c r="A24" s="636"/>
      <c r="B24" s="625"/>
      <c r="C24" s="625"/>
      <c r="D24" s="625"/>
      <c r="E24" s="637"/>
      <c r="F24" s="638"/>
      <c r="G24" s="616"/>
    </row>
    <row r="25" spans="1:13" s="642" customFormat="1" ht="30" customHeight="1">
      <c r="A25" s="601" t="s">
        <v>179</v>
      </c>
      <c r="B25" s="640"/>
      <c r="C25" s="641"/>
      <c r="D25" s="641"/>
      <c r="E25" s="641"/>
      <c r="F25" s="641"/>
      <c r="G25" s="616">
        <v>3</v>
      </c>
    </row>
    <row r="26" spans="1:13" s="639" customFormat="1" ht="7.5" customHeight="1">
      <c r="A26" s="605"/>
      <c r="B26" s="605"/>
      <c r="C26" s="628"/>
      <c r="D26" s="628"/>
      <c r="E26" s="628"/>
      <c r="F26" s="629"/>
      <c r="G26" s="616"/>
    </row>
    <row r="27" spans="1:13" s="639" customFormat="1" ht="43.5" customHeight="1">
      <c r="A27" s="609" t="s">
        <v>180</v>
      </c>
      <c r="B27" s="609"/>
      <c r="C27" s="609"/>
      <c r="D27" s="609"/>
      <c r="E27" s="609"/>
      <c r="F27" s="599"/>
      <c r="G27" s="616"/>
    </row>
    <row r="28" spans="1:13" s="617" customFormat="1" ht="39.950000000000003" customHeight="1">
      <c r="A28" s="611" t="s">
        <v>166</v>
      </c>
      <c r="B28" s="611"/>
      <c r="C28" s="611"/>
      <c r="D28" s="611"/>
      <c r="E28" s="612" t="s">
        <v>167</v>
      </c>
      <c r="F28" s="612" t="s">
        <v>181</v>
      </c>
      <c r="G28" s="616"/>
    </row>
    <row r="29" spans="1:13" s="617" customFormat="1" ht="39.950000000000003" customHeight="1">
      <c r="A29" s="613"/>
      <c r="B29" s="614" t="s">
        <v>169</v>
      </c>
      <c r="C29" s="614"/>
      <c r="D29" s="614"/>
      <c r="E29" s="643">
        <f>+F32</f>
        <v>200000</v>
      </c>
      <c r="F29" s="643">
        <v>200000</v>
      </c>
      <c r="G29" s="616"/>
    </row>
    <row r="30" spans="1:13" s="617" customFormat="1" ht="39.950000000000003" customHeight="1">
      <c r="A30" s="613"/>
      <c r="B30" s="614" t="s">
        <v>182</v>
      </c>
      <c r="C30" s="614"/>
      <c r="D30" s="614"/>
      <c r="E30" s="630">
        <v>0</v>
      </c>
      <c r="F30" s="643">
        <v>0</v>
      </c>
      <c r="G30" s="616"/>
    </row>
    <row r="31" spans="1:13" s="617" customFormat="1" ht="39.950000000000003" customHeight="1">
      <c r="A31" s="613"/>
      <c r="B31" s="614" t="s">
        <v>178</v>
      </c>
      <c r="C31" s="614"/>
      <c r="D31" s="614"/>
      <c r="E31" s="643">
        <v>0</v>
      </c>
      <c r="F31" s="643">
        <v>0</v>
      </c>
      <c r="G31" s="616"/>
    </row>
    <row r="32" spans="1:13" s="593" customFormat="1" ht="39.950000000000003" customHeight="1" thickBot="1">
      <c r="A32" s="632"/>
      <c r="B32" s="622" t="s">
        <v>174</v>
      </c>
      <c r="C32" s="622"/>
      <c r="D32" s="622"/>
      <c r="E32" s="633">
        <f>+E29+E30-E31</f>
        <v>200000</v>
      </c>
      <c r="F32" s="634">
        <f>+F29+F30-F31</f>
        <v>200000</v>
      </c>
      <c r="G32" s="592"/>
    </row>
    <row r="33" spans="1:7" ht="9.75" customHeight="1" thickTop="1">
      <c r="A33" s="636"/>
      <c r="B33" s="625"/>
      <c r="C33" s="625"/>
      <c r="D33" s="625"/>
      <c r="E33" s="637"/>
      <c r="F33" s="644"/>
    </row>
    <row r="34" spans="1:7" s="645" customFormat="1" ht="30" customHeight="1">
      <c r="A34" s="601" t="s">
        <v>183</v>
      </c>
      <c r="B34" s="640"/>
      <c r="C34" s="641"/>
      <c r="D34" s="641"/>
      <c r="E34" s="641"/>
      <c r="F34" s="641"/>
      <c r="G34" s="592">
        <v>4</v>
      </c>
    </row>
    <row r="35" spans="1:7" s="608" customFormat="1" ht="9.9499999999999993" customHeight="1">
      <c r="A35" s="605"/>
      <c r="B35" s="605"/>
      <c r="C35" s="628"/>
      <c r="D35" s="628"/>
      <c r="E35" s="628"/>
      <c r="F35" s="629"/>
      <c r="G35" s="596"/>
    </row>
    <row r="36" spans="1:7" s="645" customFormat="1" ht="35.1" customHeight="1">
      <c r="A36" s="609" t="s">
        <v>184</v>
      </c>
      <c r="B36" s="609"/>
      <c r="C36" s="609"/>
      <c r="D36" s="609"/>
      <c r="E36" s="646"/>
      <c r="F36" s="646"/>
      <c r="G36" s="592"/>
    </row>
    <row r="37" spans="1:7" s="593" customFormat="1" ht="39.950000000000003" customHeight="1">
      <c r="A37" s="611" t="s">
        <v>166</v>
      </c>
      <c r="B37" s="611"/>
      <c r="C37" s="611"/>
      <c r="D37" s="611"/>
      <c r="E37" s="612" t="s">
        <v>167</v>
      </c>
      <c r="F37" s="612" t="s">
        <v>181</v>
      </c>
      <c r="G37" s="592"/>
    </row>
    <row r="38" spans="1:7" s="617" customFormat="1" ht="39.950000000000003" customHeight="1">
      <c r="A38" s="613"/>
      <c r="B38" s="614" t="s">
        <v>169</v>
      </c>
      <c r="C38" s="614"/>
      <c r="D38" s="614"/>
      <c r="E38" s="630">
        <f>+F41</f>
        <v>4430546</v>
      </c>
      <c r="F38" s="630">
        <v>3632411</v>
      </c>
      <c r="G38" s="616"/>
    </row>
    <row r="39" spans="1:7" s="617" customFormat="1" ht="39.950000000000003" customHeight="1">
      <c r="A39" s="613"/>
      <c r="B39" s="614" t="s">
        <v>185</v>
      </c>
      <c r="C39" s="614"/>
      <c r="D39" s="614"/>
      <c r="E39" s="630">
        <v>4700000</v>
      </c>
      <c r="F39" s="630">
        <v>1137417</v>
      </c>
      <c r="G39" s="616"/>
    </row>
    <row r="40" spans="1:7" s="617" customFormat="1" ht="39.950000000000003" customHeight="1">
      <c r="A40" s="613"/>
      <c r="B40" s="614" t="s">
        <v>173</v>
      </c>
      <c r="C40" s="614"/>
      <c r="D40" s="614"/>
      <c r="E40" s="615">
        <v>880391</v>
      </c>
      <c r="F40" s="630">
        <v>339282</v>
      </c>
      <c r="G40" s="616"/>
    </row>
    <row r="41" spans="1:7" s="617" customFormat="1" ht="39.950000000000003" customHeight="1" thickBot="1">
      <c r="A41" s="632"/>
      <c r="B41" s="622" t="s">
        <v>174</v>
      </c>
      <c r="C41" s="622"/>
      <c r="D41" s="622"/>
      <c r="E41" s="633">
        <f>+E38+E39-E40</f>
        <v>8250155</v>
      </c>
      <c r="F41" s="634">
        <f>+F38+F39-F40</f>
        <v>4430546</v>
      </c>
      <c r="G41" s="616"/>
    </row>
    <row r="42" spans="1:7" s="639" customFormat="1" ht="12.75" customHeight="1" thickTop="1">
      <c r="A42" s="636"/>
      <c r="B42" s="625"/>
      <c r="C42" s="625"/>
      <c r="D42" s="625"/>
      <c r="E42" s="637"/>
      <c r="F42" s="638"/>
      <c r="G42" s="616"/>
    </row>
    <row r="43" spans="1:7" s="645" customFormat="1" ht="24.95" customHeight="1">
      <c r="A43" s="601" t="s">
        <v>186</v>
      </c>
      <c r="B43" s="647"/>
      <c r="C43" s="647"/>
      <c r="D43" s="647"/>
      <c r="E43" s="647"/>
      <c r="F43" s="647"/>
      <c r="G43" s="592">
        <v>5</v>
      </c>
    </row>
    <row r="44" spans="1:7" ht="15.75" customHeight="1"/>
    <row r="45" spans="1:7" s="639" customFormat="1" ht="35.1" customHeight="1">
      <c r="A45" s="609" t="s">
        <v>187</v>
      </c>
      <c r="B45" s="609"/>
      <c r="C45" s="609"/>
      <c r="D45" s="609"/>
      <c r="E45" s="609"/>
      <c r="F45" s="609"/>
      <c r="G45" s="616"/>
    </row>
    <row r="46" spans="1:7" s="593" customFormat="1" ht="39.950000000000003" customHeight="1">
      <c r="A46" s="611" t="s">
        <v>166</v>
      </c>
      <c r="B46" s="611"/>
      <c r="C46" s="611"/>
      <c r="D46" s="611"/>
      <c r="E46" s="612" t="s">
        <v>167</v>
      </c>
      <c r="F46" s="612" t="s">
        <v>181</v>
      </c>
      <c r="G46" s="592"/>
    </row>
    <row r="47" spans="1:7" s="593" customFormat="1" ht="39.950000000000003" customHeight="1">
      <c r="A47" s="649"/>
      <c r="B47" s="614" t="s">
        <v>169</v>
      </c>
      <c r="C47" s="614"/>
      <c r="D47" s="614"/>
      <c r="E47" s="650">
        <f>+F50</f>
        <v>480000</v>
      </c>
      <c r="F47" s="651">
        <v>480000</v>
      </c>
      <c r="G47" s="592"/>
    </row>
    <row r="48" spans="1:7" s="593" customFormat="1" ht="39.950000000000003" customHeight="1">
      <c r="A48" s="652"/>
      <c r="B48" s="614" t="s">
        <v>188</v>
      </c>
      <c r="C48" s="614"/>
      <c r="D48" s="614"/>
      <c r="E48" s="653">
        <v>900000</v>
      </c>
      <c r="F48" s="630">
        <v>0</v>
      </c>
      <c r="G48" s="592"/>
    </row>
    <row r="49" spans="1:7" s="617" customFormat="1" ht="39.950000000000003" customHeight="1">
      <c r="A49" s="618"/>
      <c r="B49" s="614" t="s">
        <v>173</v>
      </c>
      <c r="C49" s="614"/>
      <c r="D49" s="614"/>
      <c r="E49" s="650">
        <v>732943</v>
      </c>
      <c r="F49" s="630">
        <v>0</v>
      </c>
      <c r="G49" s="616"/>
    </row>
    <row r="50" spans="1:7" s="617" customFormat="1" ht="39.950000000000003" customHeight="1" thickBot="1">
      <c r="A50" s="632"/>
      <c r="B50" s="622" t="s">
        <v>174</v>
      </c>
      <c r="C50" s="622"/>
      <c r="D50" s="622"/>
      <c r="E50" s="654">
        <f>+E47+E48-E49</f>
        <v>647057</v>
      </c>
      <c r="F50" s="634">
        <f>+F47+F48-F49</f>
        <v>480000</v>
      </c>
      <c r="G50" s="616"/>
    </row>
    <row r="51" spans="1:7" ht="32.25" thickTop="1"/>
  </sheetData>
  <mergeCells count="34">
    <mergeCell ref="B47:D47"/>
    <mergeCell ref="B48:D48"/>
    <mergeCell ref="B49:D49"/>
    <mergeCell ref="B50:D50"/>
    <mergeCell ref="B38:D38"/>
    <mergeCell ref="B39:D39"/>
    <mergeCell ref="B40:D40"/>
    <mergeCell ref="B41:D41"/>
    <mergeCell ref="A45:F45"/>
    <mergeCell ref="A46:D46"/>
    <mergeCell ref="B29:D29"/>
    <mergeCell ref="B30:D30"/>
    <mergeCell ref="B31:D31"/>
    <mergeCell ref="B32:D32"/>
    <mergeCell ref="A36:D36"/>
    <mergeCell ref="A37:D37"/>
    <mergeCell ref="B20:D20"/>
    <mergeCell ref="B21:D21"/>
    <mergeCell ref="B22:D22"/>
    <mergeCell ref="B23:D23"/>
    <mergeCell ref="A27:E27"/>
    <mergeCell ref="A28:D28"/>
    <mergeCell ref="B10:D10"/>
    <mergeCell ref="B12:D12"/>
    <mergeCell ref="B13:D13"/>
    <mergeCell ref="B14:D14"/>
    <mergeCell ref="A18:D18"/>
    <mergeCell ref="A19:D19"/>
    <mergeCell ref="A1:F1"/>
    <mergeCell ref="A2:F2"/>
    <mergeCell ref="A3:F3"/>
    <mergeCell ref="A7:D7"/>
    <mergeCell ref="A8:D8"/>
    <mergeCell ref="B9:D9"/>
  </mergeCells>
  <pageMargins left="0.7" right="0.7" top="0.31" bottom="0.31" header="0.3" footer="0.3"/>
  <pageSetup scale="45" orientation="portrait" r:id="rId1"/>
  <rowBreaks count="1" manualBreakCount="1">
    <brk id="51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121"/>
  <sheetViews>
    <sheetView view="pageBreakPreview" zoomScale="64" zoomScaleSheetLayoutView="64" workbookViewId="0">
      <selection activeCell="A2" sqref="A2:D2"/>
    </sheetView>
  </sheetViews>
  <sheetFormatPr defaultRowHeight="20.25"/>
  <cols>
    <col min="1" max="1" width="10.42578125" style="648" customWidth="1"/>
    <col min="2" max="2" width="60.7109375" style="648" customWidth="1"/>
    <col min="3" max="4" width="53.7109375" style="648" bestFit="1" customWidth="1"/>
    <col min="5" max="5" width="6.42578125" style="671" customWidth="1"/>
    <col min="6" max="257" width="9.140625" style="600"/>
    <col min="258" max="258" width="45.85546875" style="600" customWidth="1"/>
    <col min="259" max="259" width="21.85546875" style="600" customWidth="1"/>
    <col min="260" max="260" width="24.28515625" style="600" customWidth="1"/>
    <col min="261" max="513" width="9.140625" style="600"/>
    <col min="514" max="514" width="45.85546875" style="600" customWidth="1"/>
    <col min="515" max="515" width="21.85546875" style="600" customWidth="1"/>
    <col min="516" max="516" width="24.28515625" style="600" customWidth="1"/>
    <col min="517" max="769" width="9.140625" style="600"/>
    <col min="770" max="770" width="45.85546875" style="600" customWidth="1"/>
    <col min="771" max="771" width="21.85546875" style="600" customWidth="1"/>
    <col min="772" max="772" width="24.28515625" style="600" customWidth="1"/>
    <col min="773" max="1025" width="9.140625" style="600"/>
    <col min="1026" max="1026" width="45.85546875" style="600" customWidth="1"/>
    <col min="1027" max="1027" width="21.85546875" style="600" customWidth="1"/>
    <col min="1028" max="1028" width="24.28515625" style="600" customWidth="1"/>
    <col min="1029" max="1281" width="9.140625" style="600"/>
    <col min="1282" max="1282" width="45.85546875" style="600" customWidth="1"/>
    <col min="1283" max="1283" width="21.85546875" style="600" customWidth="1"/>
    <col min="1284" max="1284" width="24.28515625" style="600" customWidth="1"/>
    <col min="1285" max="1537" width="9.140625" style="600"/>
    <col min="1538" max="1538" width="45.85546875" style="600" customWidth="1"/>
    <col min="1539" max="1539" width="21.85546875" style="600" customWidth="1"/>
    <col min="1540" max="1540" width="24.28515625" style="600" customWidth="1"/>
    <col min="1541" max="1793" width="9.140625" style="600"/>
    <col min="1794" max="1794" width="45.85546875" style="600" customWidth="1"/>
    <col min="1795" max="1795" width="21.85546875" style="600" customWidth="1"/>
    <col min="1796" max="1796" width="24.28515625" style="600" customWidth="1"/>
    <col min="1797" max="2049" width="9.140625" style="600"/>
    <col min="2050" max="2050" width="45.85546875" style="600" customWidth="1"/>
    <col min="2051" max="2051" width="21.85546875" style="600" customWidth="1"/>
    <col min="2052" max="2052" width="24.28515625" style="600" customWidth="1"/>
    <col min="2053" max="2305" width="9.140625" style="600"/>
    <col min="2306" max="2306" width="45.85546875" style="600" customWidth="1"/>
    <col min="2307" max="2307" width="21.85546875" style="600" customWidth="1"/>
    <col min="2308" max="2308" width="24.28515625" style="600" customWidth="1"/>
    <col min="2309" max="2561" width="9.140625" style="600"/>
    <col min="2562" max="2562" width="45.85546875" style="600" customWidth="1"/>
    <col min="2563" max="2563" width="21.85546875" style="600" customWidth="1"/>
    <col min="2564" max="2564" width="24.28515625" style="600" customWidth="1"/>
    <col min="2565" max="2817" width="9.140625" style="600"/>
    <col min="2818" max="2818" width="45.85546875" style="600" customWidth="1"/>
    <col min="2819" max="2819" width="21.85546875" style="600" customWidth="1"/>
    <col min="2820" max="2820" width="24.28515625" style="600" customWidth="1"/>
    <col min="2821" max="3073" width="9.140625" style="600"/>
    <col min="3074" max="3074" width="45.85546875" style="600" customWidth="1"/>
    <col min="3075" max="3075" width="21.85546875" style="600" customWidth="1"/>
    <col min="3076" max="3076" width="24.28515625" style="600" customWidth="1"/>
    <col min="3077" max="3329" width="9.140625" style="600"/>
    <col min="3330" max="3330" width="45.85546875" style="600" customWidth="1"/>
    <col min="3331" max="3331" width="21.85546875" style="600" customWidth="1"/>
    <col min="3332" max="3332" width="24.28515625" style="600" customWidth="1"/>
    <col min="3333" max="3585" width="9.140625" style="600"/>
    <col min="3586" max="3586" width="45.85546875" style="600" customWidth="1"/>
    <col min="3587" max="3587" width="21.85546875" style="600" customWidth="1"/>
    <col min="3588" max="3588" width="24.28515625" style="600" customWidth="1"/>
    <col min="3589" max="3841" width="9.140625" style="600"/>
    <col min="3842" max="3842" width="45.85546875" style="600" customWidth="1"/>
    <col min="3843" max="3843" width="21.85546875" style="600" customWidth="1"/>
    <col min="3844" max="3844" width="24.28515625" style="600" customWidth="1"/>
    <col min="3845" max="4097" width="9.140625" style="600"/>
    <col min="4098" max="4098" width="45.85546875" style="600" customWidth="1"/>
    <col min="4099" max="4099" width="21.85546875" style="600" customWidth="1"/>
    <col min="4100" max="4100" width="24.28515625" style="600" customWidth="1"/>
    <col min="4101" max="4353" width="9.140625" style="600"/>
    <col min="4354" max="4354" width="45.85546875" style="600" customWidth="1"/>
    <col min="4355" max="4355" width="21.85546875" style="600" customWidth="1"/>
    <col min="4356" max="4356" width="24.28515625" style="600" customWidth="1"/>
    <col min="4357" max="4609" width="9.140625" style="600"/>
    <col min="4610" max="4610" width="45.85546875" style="600" customWidth="1"/>
    <col min="4611" max="4611" width="21.85546875" style="600" customWidth="1"/>
    <col min="4612" max="4612" width="24.28515625" style="600" customWidth="1"/>
    <col min="4613" max="4865" width="9.140625" style="600"/>
    <col min="4866" max="4866" width="45.85546875" style="600" customWidth="1"/>
    <col min="4867" max="4867" width="21.85546875" style="600" customWidth="1"/>
    <col min="4868" max="4868" width="24.28515625" style="600" customWidth="1"/>
    <col min="4869" max="5121" width="9.140625" style="600"/>
    <col min="5122" max="5122" width="45.85546875" style="600" customWidth="1"/>
    <col min="5123" max="5123" width="21.85546875" style="600" customWidth="1"/>
    <col min="5124" max="5124" width="24.28515625" style="600" customWidth="1"/>
    <col min="5125" max="5377" width="9.140625" style="600"/>
    <col min="5378" max="5378" width="45.85546875" style="600" customWidth="1"/>
    <col min="5379" max="5379" width="21.85546875" style="600" customWidth="1"/>
    <col min="5380" max="5380" width="24.28515625" style="600" customWidth="1"/>
    <col min="5381" max="5633" width="9.140625" style="600"/>
    <col min="5634" max="5634" width="45.85546875" style="600" customWidth="1"/>
    <col min="5635" max="5635" width="21.85546875" style="600" customWidth="1"/>
    <col min="5636" max="5636" width="24.28515625" style="600" customWidth="1"/>
    <col min="5637" max="5889" width="9.140625" style="600"/>
    <col min="5890" max="5890" width="45.85546875" style="600" customWidth="1"/>
    <col min="5891" max="5891" width="21.85546875" style="600" customWidth="1"/>
    <col min="5892" max="5892" width="24.28515625" style="600" customWidth="1"/>
    <col min="5893" max="6145" width="9.140625" style="600"/>
    <col min="6146" max="6146" width="45.85546875" style="600" customWidth="1"/>
    <col min="6147" max="6147" width="21.85546875" style="600" customWidth="1"/>
    <col min="6148" max="6148" width="24.28515625" style="600" customWidth="1"/>
    <col min="6149" max="6401" width="9.140625" style="600"/>
    <col min="6402" max="6402" width="45.85546875" style="600" customWidth="1"/>
    <col min="6403" max="6403" width="21.85546875" style="600" customWidth="1"/>
    <col min="6404" max="6404" width="24.28515625" style="600" customWidth="1"/>
    <col min="6405" max="6657" width="9.140625" style="600"/>
    <col min="6658" max="6658" width="45.85546875" style="600" customWidth="1"/>
    <col min="6659" max="6659" width="21.85546875" style="600" customWidth="1"/>
    <col min="6660" max="6660" width="24.28515625" style="600" customWidth="1"/>
    <col min="6661" max="6913" width="9.140625" style="600"/>
    <col min="6914" max="6914" width="45.85546875" style="600" customWidth="1"/>
    <col min="6915" max="6915" width="21.85546875" style="600" customWidth="1"/>
    <col min="6916" max="6916" width="24.28515625" style="600" customWidth="1"/>
    <col min="6917" max="7169" width="9.140625" style="600"/>
    <col min="7170" max="7170" width="45.85546875" style="600" customWidth="1"/>
    <col min="7171" max="7171" width="21.85546875" style="600" customWidth="1"/>
    <col min="7172" max="7172" width="24.28515625" style="600" customWidth="1"/>
    <col min="7173" max="7425" width="9.140625" style="600"/>
    <col min="7426" max="7426" width="45.85546875" style="600" customWidth="1"/>
    <col min="7427" max="7427" width="21.85546875" style="600" customWidth="1"/>
    <col min="7428" max="7428" width="24.28515625" style="600" customWidth="1"/>
    <col min="7429" max="7681" width="9.140625" style="600"/>
    <col min="7682" max="7682" width="45.85546875" style="600" customWidth="1"/>
    <col min="7683" max="7683" width="21.85546875" style="600" customWidth="1"/>
    <col min="7684" max="7684" width="24.28515625" style="600" customWidth="1"/>
    <col min="7685" max="7937" width="9.140625" style="600"/>
    <col min="7938" max="7938" width="45.85546875" style="600" customWidth="1"/>
    <col min="7939" max="7939" width="21.85546875" style="600" customWidth="1"/>
    <col min="7940" max="7940" width="24.28515625" style="600" customWidth="1"/>
    <col min="7941" max="8193" width="9.140625" style="600"/>
    <col min="8194" max="8194" width="45.85546875" style="600" customWidth="1"/>
    <col min="8195" max="8195" width="21.85546875" style="600" customWidth="1"/>
    <col min="8196" max="8196" width="24.28515625" style="600" customWidth="1"/>
    <col min="8197" max="8449" width="9.140625" style="600"/>
    <col min="8450" max="8450" width="45.85546875" style="600" customWidth="1"/>
    <col min="8451" max="8451" width="21.85546875" style="600" customWidth="1"/>
    <col min="8452" max="8452" width="24.28515625" style="600" customWidth="1"/>
    <col min="8453" max="8705" width="9.140625" style="600"/>
    <col min="8706" max="8706" width="45.85546875" style="600" customWidth="1"/>
    <col min="8707" max="8707" width="21.85546875" style="600" customWidth="1"/>
    <col min="8708" max="8708" width="24.28515625" style="600" customWidth="1"/>
    <col min="8709" max="8961" width="9.140625" style="600"/>
    <col min="8962" max="8962" width="45.85546875" style="600" customWidth="1"/>
    <col min="8963" max="8963" width="21.85546875" style="600" customWidth="1"/>
    <col min="8964" max="8964" width="24.28515625" style="600" customWidth="1"/>
    <col min="8965" max="9217" width="9.140625" style="600"/>
    <col min="9218" max="9218" width="45.85546875" style="600" customWidth="1"/>
    <col min="9219" max="9219" width="21.85546875" style="600" customWidth="1"/>
    <col min="9220" max="9220" width="24.28515625" style="600" customWidth="1"/>
    <col min="9221" max="9473" width="9.140625" style="600"/>
    <col min="9474" max="9474" width="45.85546875" style="600" customWidth="1"/>
    <col min="9475" max="9475" width="21.85546875" style="600" customWidth="1"/>
    <col min="9476" max="9476" width="24.28515625" style="600" customWidth="1"/>
    <col min="9477" max="9729" width="9.140625" style="600"/>
    <col min="9730" max="9730" width="45.85546875" style="600" customWidth="1"/>
    <col min="9731" max="9731" width="21.85546875" style="600" customWidth="1"/>
    <col min="9732" max="9732" width="24.28515625" style="600" customWidth="1"/>
    <col min="9733" max="9985" width="9.140625" style="600"/>
    <col min="9986" max="9986" width="45.85546875" style="600" customWidth="1"/>
    <col min="9987" max="9987" width="21.85546875" style="600" customWidth="1"/>
    <col min="9988" max="9988" width="24.28515625" style="600" customWidth="1"/>
    <col min="9989" max="10241" width="9.140625" style="600"/>
    <col min="10242" max="10242" width="45.85546875" style="600" customWidth="1"/>
    <col min="10243" max="10243" width="21.85546875" style="600" customWidth="1"/>
    <col min="10244" max="10244" width="24.28515625" style="600" customWidth="1"/>
    <col min="10245" max="10497" width="9.140625" style="600"/>
    <col min="10498" max="10498" width="45.85546875" style="600" customWidth="1"/>
    <col min="10499" max="10499" width="21.85546875" style="600" customWidth="1"/>
    <col min="10500" max="10500" width="24.28515625" style="600" customWidth="1"/>
    <col min="10501" max="10753" width="9.140625" style="600"/>
    <col min="10754" max="10754" width="45.85546875" style="600" customWidth="1"/>
    <col min="10755" max="10755" width="21.85546875" style="600" customWidth="1"/>
    <col min="10756" max="10756" width="24.28515625" style="600" customWidth="1"/>
    <col min="10757" max="11009" width="9.140625" style="600"/>
    <col min="11010" max="11010" width="45.85546875" style="600" customWidth="1"/>
    <col min="11011" max="11011" width="21.85546875" style="600" customWidth="1"/>
    <col min="11012" max="11012" width="24.28515625" style="600" customWidth="1"/>
    <col min="11013" max="11265" width="9.140625" style="600"/>
    <col min="11266" max="11266" width="45.85546875" style="600" customWidth="1"/>
    <col min="11267" max="11267" width="21.85546875" style="600" customWidth="1"/>
    <col min="11268" max="11268" width="24.28515625" style="600" customWidth="1"/>
    <col min="11269" max="11521" width="9.140625" style="600"/>
    <col min="11522" max="11522" width="45.85546875" style="600" customWidth="1"/>
    <col min="11523" max="11523" width="21.85546875" style="600" customWidth="1"/>
    <col min="11524" max="11524" width="24.28515625" style="600" customWidth="1"/>
    <col min="11525" max="11777" width="9.140625" style="600"/>
    <col min="11778" max="11778" width="45.85546875" style="600" customWidth="1"/>
    <col min="11779" max="11779" width="21.85546875" style="600" customWidth="1"/>
    <col min="11780" max="11780" width="24.28515625" style="600" customWidth="1"/>
    <col min="11781" max="12033" width="9.140625" style="600"/>
    <col min="12034" max="12034" width="45.85546875" style="600" customWidth="1"/>
    <col min="12035" max="12035" width="21.85546875" style="600" customWidth="1"/>
    <col min="12036" max="12036" width="24.28515625" style="600" customWidth="1"/>
    <col min="12037" max="12289" width="9.140625" style="600"/>
    <col min="12290" max="12290" width="45.85546875" style="600" customWidth="1"/>
    <col min="12291" max="12291" width="21.85546875" style="600" customWidth="1"/>
    <col min="12292" max="12292" width="24.28515625" style="600" customWidth="1"/>
    <col min="12293" max="12545" width="9.140625" style="600"/>
    <col min="12546" max="12546" width="45.85546875" style="600" customWidth="1"/>
    <col min="12547" max="12547" width="21.85546875" style="600" customWidth="1"/>
    <col min="12548" max="12548" width="24.28515625" style="600" customWidth="1"/>
    <col min="12549" max="12801" width="9.140625" style="600"/>
    <col min="12802" max="12802" width="45.85546875" style="600" customWidth="1"/>
    <col min="12803" max="12803" width="21.85546875" style="600" customWidth="1"/>
    <col min="12804" max="12804" width="24.28515625" style="600" customWidth="1"/>
    <col min="12805" max="13057" width="9.140625" style="600"/>
    <col min="13058" max="13058" width="45.85546875" style="600" customWidth="1"/>
    <col min="13059" max="13059" width="21.85546875" style="600" customWidth="1"/>
    <col min="13060" max="13060" width="24.28515625" style="600" customWidth="1"/>
    <col min="13061" max="13313" width="9.140625" style="600"/>
    <col min="13314" max="13314" width="45.85546875" style="600" customWidth="1"/>
    <col min="13315" max="13315" width="21.85546875" style="600" customWidth="1"/>
    <col min="13316" max="13316" width="24.28515625" style="600" customWidth="1"/>
    <col min="13317" max="13569" width="9.140625" style="600"/>
    <col min="13570" max="13570" width="45.85546875" style="600" customWidth="1"/>
    <col min="13571" max="13571" width="21.85546875" style="600" customWidth="1"/>
    <col min="13572" max="13572" width="24.28515625" style="600" customWidth="1"/>
    <col min="13573" max="13825" width="9.140625" style="600"/>
    <col min="13826" max="13826" width="45.85546875" style="600" customWidth="1"/>
    <col min="13827" max="13827" width="21.85546875" style="600" customWidth="1"/>
    <col min="13828" max="13828" width="24.28515625" style="600" customWidth="1"/>
    <col min="13829" max="14081" width="9.140625" style="600"/>
    <col min="14082" max="14082" width="45.85546875" style="600" customWidth="1"/>
    <col min="14083" max="14083" width="21.85546875" style="600" customWidth="1"/>
    <col min="14084" max="14084" width="24.28515625" style="600" customWidth="1"/>
    <col min="14085" max="14337" width="9.140625" style="600"/>
    <col min="14338" max="14338" width="45.85546875" style="600" customWidth="1"/>
    <col min="14339" max="14339" width="21.85546875" style="600" customWidth="1"/>
    <col min="14340" max="14340" width="24.28515625" style="600" customWidth="1"/>
    <col min="14341" max="14593" width="9.140625" style="600"/>
    <col min="14594" max="14594" width="45.85546875" style="600" customWidth="1"/>
    <col min="14595" max="14595" width="21.85546875" style="600" customWidth="1"/>
    <col min="14596" max="14596" width="24.28515625" style="600" customWidth="1"/>
    <col min="14597" max="14849" width="9.140625" style="600"/>
    <col min="14850" max="14850" width="45.85546875" style="600" customWidth="1"/>
    <col min="14851" max="14851" width="21.85546875" style="600" customWidth="1"/>
    <col min="14852" max="14852" width="24.28515625" style="600" customWidth="1"/>
    <col min="14853" max="15105" width="9.140625" style="600"/>
    <col min="15106" max="15106" width="45.85546875" style="600" customWidth="1"/>
    <col min="15107" max="15107" width="21.85546875" style="600" customWidth="1"/>
    <col min="15108" max="15108" width="24.28515625" style="600" customWidth="1"/>
    <col min="15109" max="15361" width="9.140625" style="600"/>
    <col min="15362" max="15362" width="45.85546875" style="600" customWidth="1"/>
    <col min="15363" max="15363" width="21.85546875" style="600" customWidth="1"/>
    <col min="15364" max="15364" width="24.28515625" style="600" customWidth="1"/>
    <col min="15365" max="15617" width="9.140625" style="600"/>
    <col min="15618" max="15618" width="45.85546875" style="600" customWidth="1"/>
    <col min="15619" max="15619" width="21.85546875" style="600" customWidth="1"/>
    <col min="15620" max="15620" width="24.28515625" style="600" customWidth="1"/>
    <col min="15621" max="15873" width="9.140625" style="600"/>
    <col min="15874" max="15874" width="45.85546875" style="600" customWidth="1"/>
    <col min="15875" max="15875" width="21.85546875" style="600" customWidth="1"/>
    <col min="15876" max="15876" width="24.28515625" style="600" customWidth="1"/>
    <col min="15877" max="16129" width="9.140625" style="600"/>
    <col min="16130" max="16130" width="45.85546875" style="600" customWidth="1"/>
    <col min="16131" max="16131" width="21.85546875" style="600" customWidth="1"/>
    <col min="16132" max="16132" width="24.28515625" style="600" customWidth="1"/>
    <col min="16133" max="16384" width="9.140625" style="600"/>
  </cols>
  <sheetData>
    <row r="1" spans="1:5" s="657" customFormat="1" ht="48.75" customHeight="1">
      <c r="A1" s="655"/>
      <c r="B1" s="655"/>
      <c r="C1" s="655"/>
      <c r="D1" s="655"/>
      <c r="E1" s="656"/>
    </row>
    <row r="2" spans="1:5" s="657" customFormat="1" ht="30.75" customHeight="1">
      <c r="A2" s="594"/>
      <c r="B2" s="594"/>
      <c r="C2" s="594"/>
      <c r="D2" s="594"/>
      <c r="E2" s="656"/>
    </row>
    <row r="3" spans="1:5" s="652" customFormat="1" ht="35.1" customHeight="1">
      <c r="A3" s="595" t="s">
        <v>189</v>
      </c>
      <c r="B3" s="595"/>
      <c r="C3" s="595"/>
      <c r="D3" s="595"/>
      <c r="E3" s="658"/>
    </row>
    <row r="4" spans="1:5" s="657" customFormat="1" ht="9" customHeight="1">
      <c r="A4" s="659"/>
      <c r="B4" s="659"/>
      <c r="C4" s="659"/>
      <c r="D4" s="659"/>
      <c r="E4" s="656"/>
    </row>
    <row r="5" spans="1:5" s="662" customFormat="1" ht="30" customHeight="1">
      <c r="A5" s="601" t="s">
        <v>190</v>
      </c>
      <c r="B5" s="601"/>
      <c r="C5" s="601"/>
      <c r="D5" s="660"/>
      <c r="E5" s="661">
        <v>5</v>
      </c>
    </row>
    <row r="6" spans="1:5" s="667" customFormat="1" ht="45" customHeight="1">
      <c r="A6" s="663" t="s">
        <v>191</v>
      </c>
      <c r="B6" s="663"/>
      <c r="C6" s="664"/>
      <c r="D6" s="665"/>
      <c r="E6" s="666"/>
    </row>
    <row r="7" spans="1:5" s="672" customFormat="1" ht="24.95" customHeight="1">
      <c r="A7" s="668" t="s">
        <v>192</v>
      </c>
      <c r="B7" s="668"/>
      <c r="C7" s="669"/>
      <c r="D7" s="670"/>
      <c r="E7" s="671" t="s">
        <v>31</v>
      </c>
    </row>
    <row r="8" spans="1:5" s="652" customFormat="1" ht="39.950000000000003" customHeight="1">
      <c r="A8" s="673" t="s">
        <v>193</v>
      </c>
      <c r="B8" s="674" t="s">
        <v>166</v>
      </c>
      <c r="C8" s="612" t="s">
        <v>167</v>
      </c>
      <c r="D8" s="612" t="s">
        <v>181</v>
      </c>
      <c r="E8" s="658"/>
    </row>
    <row r="9" spans="1:5" s="652" customFormat="1" ht="39" customHeight="1">
      <c r="A9" s="675">
        <v>1</v>
      </c>
      <c r="B9" s="676" t="s">
        <v>194</v>
      </c>
      <c r="C9" s="677">
        <v>70</v>
      </c>
      <c r="D9" s="678">
        <v>11010</v>
      </c>
      <c r="E9" s="658"/>
    </row>
    <row r="10" spans="1:5" s="652" customFormat="1" ht="39" customHeight="1">
      <c r="A10" s="675">
        <v>2</v>
      </c>
      <c r="B10" s="679" t="s">
        <v>195</v>
      </c>
      <c r="C10" s="677">
        <v>3000</v>
      </c>
      <c r="D10" s="678">
        <v>75677</v>
      </c>
      <c r="E10" s="658"/>
    </row>
    <row r="11" spans="1:5" s="652" customFormat="1" ht="39" customHeight="1">
      <c r="A11" s="675">
        <v>3</v>
      </c>
      <c r="B11" s="679" t="s">
        <v>196</v>
      </c>
      <c r="C11" s="677">
        <v>7800</v>
      </c>
      <c r="D11" s="678">
        <v>5160</v>
      </c>
      <c r="E11" s="658"/>
    </row>
    <row r="12" spans="1:5" s="652" customFormat="1" ht="39" customHeight="1">
      <c r="A12" s="675">
        <v>4</v>
      </c>
      <c r="B12" s="679" t="s">
        <v>197</v>
      </c>
      <c r="C12" s="677">
        <v>0</v>
      </c>
      <c r="D12" s="678">
        <v>4200</v>
      </c>
      <c r="E12" s="658"/>
    </row>
    <row r="13" spans="1:5" s="652" customFormat="1" ht="39" customHeight="1">
      <c r="A13" s="675">
        <v>5</v>
      </c>
      <c r="B13" s="679" t="s">
        <v>198</v>
      </c>
      <c r="C13" s="677">
        <v>3500</v>
      </c>
      <c r="D13" s="678">
        <v>3550</v>
      </c>
      <c r="E13" s="658"/>
    </row>
    <row r="14" spans="1:5" s="652" customFormat="1" ht="39" customHeight="1">
      <c r="A14" s="675">
        <v>6</v>
      </c>
      <c r="B14" s="679" t="s">
        <v>199</v>
      </c>
      <c r="C14" s="677">
        <v>0</v>
      </c>
      <c r="D14" s="678">
        <v>8700</v>
      </c>
      <c r="E14" s="658"/>
    </row>
    <row r="15" spans="1:5" s="652" customFormat="1" ht="39" customHeight="1">
      <c r="A15" s="675">
        <v>7</v>
      </c>
      <c r="B15" s="679" t="s">
        <v>200</v>
      </c>
      <c r="C15" s="677">
        <v>9617</v>
      </c>
      <c r="D15" s="678">
        <v>24581</v>
      </c>
      <c r="E15" s="658"/>
    </row>
    <row r="16" spans="1:5" s="652" customFormat="1" ht="39" customHeight="1">
      <c r="A16" s="675">
        <v>8</v>
      </c>
      <c r="B16" s="676" t="s">
        <v>201</v>
      </c>
      <c r="C16" s="677">
        <v>0</v>
      </c>
      <c r="D16" s="678">
        <v>2500</v>
      </c>
      <c r="E16" s="658"/>
    </row>
    <row r="17" spans="1:5" s="652" customFormat="1" ht="39" customHeight="1">
      <c r="A17" s="675">
        <v>9</v>
      </c>
      <c r="B17" s="676" t="s">
        <v>202</v>
      </c>
      <c r="C17" s="677">
        <v>6050</v>
      </c>
      <c r="D17" s="678">
        <v>0</v>
      </c>
      <c r="E17" s="658"/>
    </row>
    <row r="18" spans="1:5" s="652" customFormat="1" ht="39" customHeight="1">
      <c r="A18" s="675">
        <v>10</v>
      </c>
      <c r="B18" s="676" t="s">
        <v>203</v>
      </c>
      <c r="C18" s="677">
        <v>0</v>
      </c>
      <c r="D18" s="678">
        <v>6945</v>
      </c>
      <c r="E18" s="658"/>
    </row>
    <row r="19" spans="1:5" s="652" customFormat="1" ht="39" customHeight="1">
      <c r="A19" s="675">
        <v>11</v>
      </c>
      <c r="B19" s="676" t="s">
        <v>204</v>
      </c>
      <c r="C19" s="677">
        <v>6195</v>
      </c>
      <c r="D19" s="678">
        <v>27342</v>
      </c>
      <c r="E19" s="658"/>
    </row>
    <row r="20" spans="1:5" s="618" customFormat="1" ht="39" customHeight="1">
      <c r="A20" s="675">
        <v>12</v>
      </c>
      <c r="B20" s="679" t="s">
        <v>205</v>
      </c>
      <c r="C20" s="677">
        <v>11800</v>
      </c>
      <c r="D20" s="678">
        <v>0</v>
      </c>
      <c r="E20" s="680"/>
    </row>
    <row r="21" spans="1:5" s="618" customFormat="1" ht="39" customHeight="1">
      <c r="A21" s="675">
        <v>13</v>
      </c>
      <c r="B21" s="676" t="s">
        <v>206</v>
      </c>
      <c r="C21" s="677">
        <v>0</v>
      </c>
      <c r="D21" s="678">
        <v>13500</v>
      </c>
      <c r="E21" s="680"/>
    </row>
    <row r="22" spans="1:5" s="618" customFormat="1" ht="39" customHeight="1">
      <c r="A22" s="675">
        <v>14</v>
      </c>
      <c r="B22" s="679" t="s">
        <v>207</v>
      </c>
      <c r="C22" s="677">
        <v>132210</v>
      </c>
      <c r="D22" s="678">
        <v>0</v>
      </c>
      <c r="E22" s="680"/>
    </row>
    <row r="23" spans="1:5" s="618" customFormat="1" ht="39" customHeight="1">
      <c r="A23" s="675">
        <v>15</v>
      </c>
      <c r="B23" s="679" t="s">
        <v>208</v>
      </c>
      <c r="C23" s="677">
        <v>79649</v>
      </c>
      <c r="D23" s="678">
        <v>0</v>
      </c>
      <c r="E23" s="680"/>
    </row>
    <row r="24" spans="1:5" s="618" customFormat="1" ht="39" customHeight="1">
      <c r="A24" s="675">
        <v>16</v>
      </c>
      <c r="B24" s="679" t="s">
        <v>209</v>
      </c>
      <c r="C24" s="677">
        <v>18385</v>
      </c>
      <c r="D24" s="678"/>
      <c r="E24" s="680"/>
    </row>
    <row r="25" spans="1:5" s="618" customFormat="1" ht="39" customHeight="1">
      <c r="A25" s="675">
        <v>17</v>
      </c>
      <c r="B25" s="679" t="s">
        <v>210</v>
      </c>
      <c r="C25" s="677">
        <v>32494</v>
      </c>
      <c r="D25" s="678">
        <v>0</v>
      </c>
      <c r="E25" s="680"/>
    </row>
    <row r="26" spans="1:5" s="618" customFormat="1" ht="39" customHeight="1">
      <c r="A26" s="675">
        <v>18</v>
      </c>
      <c r="B26" s="676" t="s">
        <v>211</v>
      </c>
      <c r="C26" s="677">
        <v>0</v>
      </c>
      <c r="D26" s="678">
        <v>13130</v>
      </c>
      <c r="E26" s="680"/>
    </row>
    <row r="27" spans="1:5" s="618" customFormat="1" ht="39" customHeight="1">
      <c r="A27" s="675">
        <v>19</v>
      </c>
      <c r="B27" s="679" t="s">
        <v>212</v>
      </c>
      <c r="C27" s="677">
        <v>181710</v>
      </c>
      <c r="D27" s="678"/>
      <c r="E27" s="680"/>
    </row>
    <row r="28" spans="1:5" s="618" customFormat="1" ht="39" customHeight="1">
      <c r="A28" s="675">
        <v>20</v>
      </c>
      <c r="B28" s="676" t="s">
        <v>213</v>
      </c>
      <c r="C28" s="677">
        <v>0</v>
      </c>
      <c r="D28" s="678">
        <v>3750</v>
      </c>
      <c r="E28" s="680"/>
    </row>
    <row r="29" spans="1:5" s="618" customFormat="1" ht="39" customHeight="1">
      <c r="A29" s="675">
        <v>21</v>
      </c>
      <c r="B29" s="679" t="s">
        <v>214</v>
      </c>
      <c r="C29" s="677">
        <v>32240</v>
      </c>
      <c r="D29" s="678">
        <v>0</v>
      </c>
      <c r="E29" s="680"/>
    </row>
    <row r="30" spans="1:5" s="618" customFormat="1" ht="39" customHeight="1">
      <c r="A30" s="675">
        <v>22</v>
      </c>
      <c r="B30" s="676" t="s">
        <v>215</v>
      </c>
      <c r="C30" s="677">
        <v>0</v>
      </c>
      <c r="D30" s="678">
        <v>1310</v>
      </c>
      <c r="E30" s="680"/>
    </row>
    <row r="31" spans="1:5" s="618" customFormat="1" ht="39" customHeight="1">
      <c r="A31" s="675">
        <v>23</v>
      </c>
      <c r="B31" s="679" t="s">
        <v>216</v>
      </c>
      <c r="C31" s="677">
        <v>6956</v>
      </c>
      <c r="D31" s="678">
        <v>27000</v>
      </c>
      <c r="E31" s="680"/>
    </row>
    <row r="32" spans="1:5" s="618" customFormat="1" ht="39" customHeight="1">
      <c r="A32" s="675">
        <v>24</v>
      </c>
      <c r="B32" s="679" t="s">
        <v>217</v>
      </c>
      <c r="C32" s="677">
        <v>0</v>
      </c>
      <c r="D32" s="678">
        <v>36000</v>
      </c>
      <c r="E32" s="680"/>
    </row>
    <row r="33" spans="1:8" s="618" customFormat="1" ht="39" customHeight="1">
      <c r="A33" s="675">
        <v>25</v>
      </c>
      <c r="B33" s="679" t="s">
        <v>218</v>
      </c>
      <c r="C33" s="677">
        <v>5364</v>
      </c>
      <c r="D33" s="678">
        <v>0</v>
      </c>
      <c r="E33" s="680"/>
    </row>
    <row r="34" spans="1:8" s="618" customFormat="1" ht="39" customHeight="1">
      <c r="A34" s="675">
        <v>26</v>
      </c>
      <c r="B34" s="679" t="s">
        <v>219</v>
      </c>
      <c r="C34" s="677">
        <v>61700</v>
      </c>
      <c r="D34" s="678">
        <v>0</v>
      </c>
      <c r="E34" s="680"/>
    </row>
    <row r="35" spans="1:8" s="618" customFormat="1" ht="39" customHeight="1">
      <c r="A35" s="675">
        <v>27</v>
      </c>
      <c r="B35" s="679" t="s">
        <v>220</v>
      </c>
      <c r="C35" s="677">
        <v>40987</v>
      </c>
      <c r="D35" s="678">
        <v>0</v>
      </c>
      <c r="E35" s="680"/>
    </row>
    <row r="36" spans="1:8" s="618" customFormat="1" ht="39" customHeight="1">
      <c r="A36" s="675">
        <v>28</v>
      </c>
      <c r="B36" s="676" t="s">
        <v>221</v>
      </c>
      <c r="C36" s="677">
        <v>0</v>
      </c>
      <c r="D36" s="678">
        <v>6700</v>
      </c>
      <c r="E36" s="680"/>
    </row>
    <row r="37" spans="1:8" s="618" customFormat="1" ht="39" customHeight="1">
      <c r="A37" s="675">
        <v>29</v>
      </c>
      <c r="B37" s="679" t="s">
        <v>222</v>
      </c>
      <c r="C37" s="677">
        <v>29200</v>
      </c>
      <c r="D37" s="678">
        <v>0</v>
      </c>
      <c r="E37" s="680"/>
    </row>
    <row r="38" spans="1:8" s="618" customFormat="1" ht="39" customHeight="1">
      <c r="A38" s="675">
        <v>30</v>
      </c>
      <c r="B38" s="679" t="s">
        <v>223</v>
      </c>
      <c r="C38" s="677">
        <v>274439</v>
      </c>
      <c r="D38" s="678">
        <v>46226</v>
      </c>
      <c r="E38" s="680"/>
    </row>
    <row r="39" spans="1:8" s="618" customFormat="1" ht="39" customHeight="1">
      <c r="A39" s="675">
        <v>31</v>
      </c>
      <c r="B39" s="679" t="s">
        <v>224</v>
      </c>
      <c r="C39" s="677">
        <v>75000</v>
      </c>
      <c r="D39" s="678">
        <v>100000</v>
      </c>
      <c r="E39" s="680"/>
    </row>
    <row r="40" spans="1:8" s="618" customFormat="1" ht="39" customHeight="1">
      <c r="A40" s="675">
        <v>32</v>
      </c>
      <c r="B40" s="679" t="s">
        <v>225</v>
      </c>
      <c r="C40" s="677">
        <v>21000</v>
      </c>
      <c r="D40" s="678">
        <v>0</v>
      </c>
      <c r="E40" s="680"/>
    </row>
    <row r="41" spans="1:8" s="618" customFormat="1" ht="39" customHeight="1">
      <c r="A41" s="675">
        <v>33</v>
      </c>
      <c r="B41" s="679" t="s">
        <v>226</v>
      </c>
      <c r="C41" s="677"/>
      <c r="D41" s="678">
        <v>69504</v>
      </c>
      <c r="E41" s="680"/>
    </row>
    <row r="42" spans="1:8" s="618" customFormat="1" ht="39" customHeight="1">
      <c r="A42" s="675">
        <v>34</v>
      </c>
      <c r="B42" s="679" t="s">
        <v>227</v>
      </c>
      <c r="C42" s="677">
        <v>0</v>
      </c>
      <c r="D42" s="678">
        <v>664185</v>
      </c>
      <c r="E42" s="680"/>
    </row>
    <row r="43" spans="1:8" s="618" customFormat="1" ht="39" customHeight="1">
      <c r="A43" s="675">
        <v>35</v>
      </c>
      <c r="B43" s="679" t="s">
        <v>228</v>
      </c>
      <c r="C43" s="677">
        <v>155356</v>
      </c>
      <c r="D43" s="678">
        <v>0</v>
      </c>
      <c r="E43" s="680"/>
    </row>
    <row r="44" spans="1:8" s="618" customFormat="1" ht="5.25" customHeight="1">
      <c r="A44" s="675"/>
      <c r="B44" s="679"/>
      <c r="C44" s="677"/>
      <c r="D44" s="678"/>
      <c r="E44" s="680"/>
    </row>
    <row r="45" spans="1:8" s="618" customFormat="1" ht="39.950000000000003" customHeight="1" thickBot="1">
      <c r="A45" s="681"/>
      <c r="B45" s="682" t="s">
        <v>174</v>
      </c>
      <c r="C45" s="634">
        <f>SUM(C9:C43)</f>
        <v>1194722</v>
      </c>
      <c r="D45" s="634">
        <f>SUM(D9:D43)</f>
        <v>1150970</v>
      </c>
      <c r="E45" s="680"/>
    </row>
    <row r="46" spans="1:8" s="672" customFormat="1" ht="25.5" customHeight="1" thickTop="1">
      <c r="A46" s="657"/>
      <c r="B46" s="657"/>
      <c r="C46" s="657"/>
      <c r="D46" s="657"/>
      <c r="E46" s="671"/>
    </row>
    <row r="47" spans="1:8" s="686" customFormat="1" ht="24.95" customHeight="1">
      <c r="A47" s="683" t="s">
        <v>229</v>
      </c>
      <c r="B47" s="683"/>
      <c r="C47" s="684"/>
      <c r="D47" s="670"/>
      <c r="E47" s="685" t="s">
        <v>230</v>
      </c>
      <c r="H47" s="687"/>
    </row>
    <row r="48" spans="1:8" s="672" customFormat="1" ht="15" customHeight="1">
      <c r="A48" s="688"/>
      <c r="B48" s="688"/>
      <c r="C48" s="689"/>
      <c r="D48" s="657"/>
      <c r="E48" s="671"/>
    </row>
    <row r="49" spans="1:5" s="593" customFormat="1" ht="39.950000000000003" customHeight="1">
      <c r="A49" s="673" t="s">
        <v>193</v>
      </c>
      <c r="B49" s="674" t="s">
        <v>166</v>
      </c>
      <c r="C49" s="612" t="s">
        <v>167</v>
      </c>
      <c r="D49" s="612" t="s">
        <v>181</v>
      </c>
      <c r="E49" s="690"/>
    </row>
    <row r="50" spans="1:5" s="593" customFormat="1" ht="12.75" customHeight="1">
      <c r="A50" s="691"/>
      <c r="B50" s="692"/>
      <c r="C50" s="693"/>
      <c r="D50" s="693"/>
      <c r="E50" s="690"/>
    </row>
    <row r="51" spans="1:5" s="618" customFormat="1" ht="39" customHeight="1">
      <c r="A51" s="694">
        <v>1</v>
      </c>
      <c r="B51" s="695" t="s">
        <v>231</v>
      </c>
      <c r="C51" s="651">
        <v>58198</v>
      </c>
      <c r="D51" s="651">
        <v>0</v>
      </c>
      <c r="E51" s="680"/>
    </row>
    <row r="52" spans="1:5" s="618" customFormat="1" ht="39" customHeight="1">
      <c r="A52" s="694">
        <v>2</v>
      </c>
      <c r="B52" s="695" t="s">
        <v>232</v>
      </c>
      <c r="C52" s="651">
        <v>35000</v>
      </c>
      <c r="D52" s="651">
        <v>0</v>
      </c>
      <c r="E52" s="680"/>
    </row>
    <row r="53" spans="1:5" s="618" customFormat="1" ht="39" customHeight="1">
      <c r="A53" s="694">
        <v>3</v>
      </c>
      <c r="B53" s="695" t="s">
        <v>233</v>
      </c>
      <c r="C53" s="651">
        <v>43731</v>
      </c>
      <c r="D53" s="651">
        <v>0</v>
      </c>
      <c r="E53" s="680"/>
    </row>
    <row r="54" spans="1:5" s="618" customFormat="1" ht="39" customHeight="1">
      <c r="A54" s="694">
        <v>4</v>
      </c>
      <c r="B54" s="696" t="s">
        <v>234</v>
      </c>
      <c r="C54" s="697">
        <v>0</v>
      </c>
      <c r="D54" s="697">
        <v>60004.6</v>
      </c>
      <c r="E54" s="680"/>
    </row>
    <row r="55" spans="1:5" s="618" customFormat="1" ht="39" customHeight="1">
      <c r="A55" s="694">
        <v>5</v>
      </c>
      <c r="B55" s="695" t="s">
        <v>235</v>
      </c>
      <c r="C55" s="651">
        <v>2500</v>
      </c>
      <c r="D55" s="651">
        <v>0</v>
      </c>
      <c r="E55" s="680"/>
    </row>
    <row r="56" spans="1:5" s="618" customFormat="1" ht="39" customHeight="1">
      <c r="A56" s="694">
        <v>6</v>
      </c>
      <c r="B56" s="695" t="s">
        <v>236</v>
      </c>
      <c r="C56" s="651">
        <v>16290</v>
      </c>
      <c r="D56" s="651">
        <v>0</v>
      </c>
      <c r="E56" s="680"/>
    </row>
    <row r="57" spans="1:5" s="618" customFormat="1" ht="39" customHeight="1">
      <c r="A57" s="694">
        <v>7</v>
      </c>
      <c r="B57" s="695" t="s">
        <v>237</v>
      </c>
      <c r="C57" s="651">
        <v>42000</v>
      </c>
      <c r="D57" s="651">
        <v>0</v>
      </c>
      <c r="E57" s="680"/>
    </row>
    <row r="58" spans="1:5" s="618" customFormat="1" ht="39" customHeight="1">
      <c r="A58" s="694">
        <v>8</v>
      </c>
      <c r="B58" s="698" t="s">
        <v>238</v>
      </c>
      <c r="C58" s="651">
        <v>12500</v>
      </c>
      <c r="D58" s="651">
        <v>0</v>
      </c>
      <c r="E58" s="680"/>
    </row>
    <row r="59" spans="1:5" s="618" customFormat="1" ht="39" customHeight="1">
      <c r="A59" s="694">
        <v>9</v>
      </c>
      <c r="B59" s="696" t="s">
        <v>239</v>
      </c>
      <c r="C59" s="651">
        <v>343</v>
      </c>
      <c r="D59" s="651">
        <v>0</v>
      </c>
      <c r="E59" s="680"/>
    </row>
    <row r="60" spans="1:5" s="618" customFormat="1" ht="39" customHeight="1">
      <c r="A60" s="694">
        <v>10</v>
      </c>
      <c r="B60" s="696" t="s">
        <v>240</v>
      </c>
      <c r="C60" s="651">
        <v>39757</v>
      </c>
      <c r="D60" s="651">
        <v>0</v>
      </c>
      <c r="E60" s="680"/>
    </row>
    <row r="61" spans="1:5" s="618" customFormat="1" ht="39" customHeight="1">
      <c r="A61" s="694">
        <v>11</v>
      </c>
      <c r="B61" s="696" t="s">
        <v>241</v>
      </c>
      <c r="C61" s="651">
        <v>30340</v>
      </c>
      <c r="D61" s="651">
        <v>0</v>
      </c>
      <c r="E61" s="680"/>
    </row>
    <row r="62" spans="1:5" s="618" customFormat="1" ht="39" customHeight="1">
      <c r="A62" s="694">
        <v>12</v>
      </c>
      <c r="B62" s="696" t="s">
        <v>242</v>
      </c>
      <c r="C62" s="651">
        <v>46082</v>
      </c>
      <c r="D62" s="651">
        <v>0</v>
      </c>
      <c r="E62" s="680"/>
    </row>
    <row r="63" spans="1:5" s="652" customFormat="1" ht="5.25" customHeight="1">
      <c r="A63" s="699"/>
      <c r="B63" s="700"/>
      <c r="C63" s="701"/>
      <c r="D63" s="702"/>
      <c r="E63" s="658"/>
    </row>
    <row r="64" spans="1:5" s="618" customFormat="1" ht="39.950000000000003" customHeight="1" thickBot="1">
      <c r="A64" s="703"/>
      <c r="B64" s="682" t="s">
        <v>174</v>
      </c>
      <c r="C64" s="634">
        <f>SUM(C51:C62)</f>
        <v>326741</v>
      </c>
      <c r="D64" s="634">
        <f>SUM(D51:D62)</f>
        <v>60004.6</v>
      </c>
      <c r="E64" s="680"/>
    </row>
    <row r="65" spans="1:5" s="672" customFormat="1" ht="19.5" customHeight="1" thickTop="1">
      <c r="A65" s="670"/>
      <c r="B65" s="704"/>
      <c r="C65" s="705"/>
      <c r="D65" s="705"/>
      <c r="E65" s="671"/>
    </row>
    <row r="66" spans="1:5" s="672" customFormat="1" ht="27" customHeight="1">
      <c r="A66" s="657"/>
      <c r="B66" s="657"/>
      <c r="C66" s="657"/>
      <c r="D66" s="657"/>
      <c r="E66" s="671"/>
    </row>
    <row r="67" spans="1:5" s="662" customFormat="1" ht="30" customHeight="1">
      <c r="A67" s="601" t="s">
        <v>243</v>
      </c>
      <c r="B67" s="601"/>
      <c r="C67" s="601"/>
      <c r="D67" s="660"/>
      <c r="E67" s="661">
        <v>6</v>
      </c>
    </row>
    <row r="68" spans="1:5" s="709" customFormat="1" ht="22.5" customHeight="1">
      <c r="A68" s="706"/>
      <c r="B68" s="706"/>
      <c r="C68" s="706"/>
      <c r="D68" s="707"/>
      <c r="E68" s="708"/>
    </row>
    <row r="69" spans="1:5" s="712" customFormat="1" ht="39.950000000000003" customHeight="1">
      <c r="A69" s="683" t="s">
        <v>244</v>
      </c>
      <c r="B69" s="683"/>
      <c r="C69" s="710"/>
      <c r="D69" s="711"/>
      <c r="E69" s="671"/>
    </row>
    <row r="70" spans="1:5" s="672" customFormat="1" ht="8.25" customHeight="1">
      <c r="A70" s="713"/>
      <c r="B70" s="713"/>
      <c r="C70" s="714"/>
      <c r="D70" s="657"/>
      <c r="E70" s="671"/>
    </row>
    <row r="71" spans="1:5" s="593" customFormat="1" ht="39.950000000000003" customHeight="1">
      <c r="A71" s="673" t="s">
        <v>193</v>
      </c>
      <c r="B71" s="674" t="s">
        <v>166</v>
      </c>
      <c r="C71" s="612" t="s">
        <v>167</v>
      </c>
      <c r="D71" s="612" t="s">
        <v>181</v>
      </c>
      <c r="E71" s="690"/>
    </row>
    <row r="72" spans="1:5" s="593" customFormat="1" ht="12.75" customHeight="1">
      <c r="A72" s="691"/>
      <c r="B72" s="692"/>
      <c r="C72" s="693"/>
      <c r="D72" s="693"/>
      <c r="E72" s="690"/>
    </row>
    <row r="73" spans="1:5" s="593" customFormat="1" ht="39" customHeight="1">
      <c r="A73" s="694">
        <v>1</v>
      </c>
      <c r="B73" s="715" t="s">
        <v>245</v>
      </c>
      <c r="C73" s="630">
        <f>1177795+655114</f>
        <v>1832909</v>
      </c>
      <c r="D73" s="630">
        <v>1433122</v>
      </c>
      <c r="E73" s="690"/>
    </row>
    <row r="74" spans="1:5" s="593" customFormat="1" ht="39" customHeight="1">
      <c r="A74" s="694">
        <v>2</v>
      </c>
      <c r="B74" s="716" t="s">
        <v>246</v>
      </c>
      <c r="C74" s="630">
        <v>1645611</v>
      </c>
      <c r="D74" s="630">
        <v>70000</v>
      </c>
      <c r="E74" s="690"/>
    </row>
    <row r="75" spans="1:5" s="652" customFormat="1" ht="12" customHeight="1">
      <c r="A75" s="699"/>
      <c r="B75" s="717"/>
      <c r="C75" s="718"/>
      <c r="D75" s="719"/>
      <c r="E75" s="658"/>
    </row>
    <row r="76" spans="1:5" s="652" customFormat="1" ht="39.950000000000003" customHeight="1" thickBot="1">
      <c r="A76" s="720"/>
      <c r="B76" s="682" t="s">
        <v>174</v>
      </c>
      <c r="C76" s="634">
        <f>SUM(C73:C74)</f>
        <v>3478520</v>
      </c>
      <c r="D76" s="634">
        <f>SUM(D73:D74)</f>
        <v>1503122</v>
      </c>
      <c r="E76" s="658"/>
    </row>
    <row r="77" spans="1:5" s="672" customFormat="1" ht="24.95" customHeight="1" thickTop="1">
      <c r="A77" s="670"/>
      <c r="B77" s="721"/>
      <c r="C77" s="705"/>
      <c r="D77" s="705"/>
      <c r="E77" s="671"/>
    </row>
    <row r="78" spans="1:5" s="672" customFormat="1" ht="24.95" customHeight="1">
      <c r="A78" s="657"/>
      <c r="B78" s="657"/>
      <c r="C78" s="657"/>
      <c r="D78" s="657"/>
      <c r="E78" s="671"/>
    </row>
    <row r="79" spans="1:5" s="662" customFormat="1" ht="30" customHeight="1">
      <c r="A79" s="601" t="s">
        <v>247</v>
      </c>
      <c r="B79" s="601"/>
      <c r="C79" s="601"/>
      <c r="D79" s="660"/>
      <c r="E79" s="661">
        <v>7</v>
      </c>
    </row>
    <row r="80" spans="1:5" s="672" customFormat="1" ht="14.25" customHeight="1">
      <c r="A80" s="657"/>
      <c r="B80" s="657"/>
      <c r="C80" s="657"/>
      <c r="D80" s="657"/>
      <c r="E80" s="671"/>
    </row>
    <row r="81" spans="1:5" s="712" customFormat="1" ht="39.950000000000003" customHeight="1">
      <c r="A81" s="683" t="s">
        <v>248</v>
      </c>
      <c r="B81" s="683"/>
      <c r="C81" s="710"/>
      <c r="D81" s="722"/>
      <c r="E81" s="671"/>
    </row>
    <row r="82" spans="1:5" s="672" customFormat="1" ht="6" customHeight="1">
      <c r="A82" s="713"/>
      <c r="B82" s="713"/>
      <c r="C82" s="714"/>
      <c r="D82" s="723"/>
      <c r="E82" s="671"/>
    </row>
    <row r="83" spans="1:5" s="593" customFormat="1" ht="39.950000000000003" customHeight="1">
      <c r="A83" s="673" t="s">
        <v>193</v>
      </c>
      <c r="B83" s="674" t="s">
        <v>166</v>
      </c>
      <c r="C83" s="612" t="s">
        <v>167</v>
      </c>
      <c r="D83" s="612" t="s">
        <v>181</v>
      </c>
      <c r="E83" s="690"/>
    </row>
    <row r="84" spans="1:5" s="672" customFormat="1">
      <c r="A84" s="724"/>
      <c r="B84" s="725"/>
      <c r="C84" s="726"/>
      <c r="D84" s="726"/>
      <c r="E84" s="671"/>
    </row>
    <row r="85" spans="1:5" s="618" customFormat="1" ht="39" customHeight="1">
      <c r="A85" s="694">
        <v>1</v>
      </c>
      <c r="B85" s="696" t="s">
        <v>249</v>
      </c>
      <c r="C85" s="727">
        <v>250000</v>
      </c>
      <c r="D85" s="727">
        <v>250000</v>
      </c>
      <c r="E85" s="680"/>
    </row>
    <row r="86" spans="1:5" s="618" customFormat="1" ht="39" customHeight="1">
      <c r="A86" s="694">
        <v>2</v>
      </c>
      <c r="B86" s="696" t="s">
        <v>250</v>
      </c>
      <c r="C86" s="727">
        <f>40000+230</f>
        <v>40230</v>
      </c>
      <c r="D86" s="727">
        <v>50000</v>
      </c>
      <c r="E86" s="680"/>
    </row>
    <row r="87" spans="1:5" s="618" customFormat="1" ht="39" customHeight="1">
      <c r="A87" s="694">
        <v>3</v>
      </c>
      <c r="B87" s="696" t="s">
        <v>251</v>
      </c>
      <c r="C87" s="727">
        <v>32000</v>
      </c>
      <c r="D87" s="727">
        <v>0</v>
      </c>
      <c r="E87" s="680"/>
    </row>
    <row r="88" spans="1:5" s="618" customFormat="1" ht="39" customHeight="1">
      <c r="A88" s="694">
        <v>4</v>
      </c>
      <c r="B88" s="696" t="s">
        <v>252</v>
      </c>
      <c r="C88" s="727">
        <f>70000+540</f>
        <v>70540</v>
      </c>
      <c r="D88" s="727">
        <v>50000</v>
      </c>
      <c r="E88" s="680"/>
    </row>
    <row r="89" spans="1:5" s="618" customFormat="1" ht="39" customHeight="1">
      <c r="A89" s="694">
        <v>5</v>
      </c>
      <c r="B89" s="696" t="s">
        <v>253</v>
      </c>
      <c r="C89" s="727">
        <f>120000+480</f>
        <v>120480</v>
      </c>
      <c r="D89" s="727">
        <v>48000</v>
      </c>
      <c r="E89" s="680"/>
    </row>
    <row r="90" spans="1:5" s="618" customFormat="1" ht="39" customHeight="1">
      <c r="A90" s="694">
        <v>6</v>
      </c>
      <c r="B90" s="696" t="s">
        <v>254</v>
      </c>
      <c r="C90" s="727">
        <f>25000+865</f>
        <v>25865</v>
      </c>
      <c r="D90" s="727">
        <v>30000</v>
      </c>
      <c r="E90" s="680"/>
    </row>
    <row r="91" spans="1:5" s="618" customFormat="1" ht="39" customHeight="1">
      <c r="A91" s="694">
        <v>7</v>
      </c>
      <c r="B91" s="696" t="s">
        <v>255</v>
      </c>
      <c r="C91" s="727">
        <v>1483140</v>
      </c>
      <c r="D91" s="727">
        <f>1234898+200023+256150+225021</f>
        <v>1916092</v>
      </c>
      <c r="E91" s="680"/>
    </row>
    <row r="92" spans="1:5" s="618" customFormat="1" ht="39" customHeight="1">
      <c r="A92" s="694">
        <v>8</v>
      </c>
      <c r="B92" s="696" t="s">
        <v>256</v>
      </c>
      <c r="C92" s="727">
        <v>215000</v>
      </c>
      <c r="D92" s="727">
        <v>276457</v>
      </c>
      <c r="E92" s="680"/>
    </row>
    <row r="93" spans="1:5" s="618" customFormat="1" ht="39" customHeight="1">
      <c r="A93" s="694">
        <v>9</v>
      </c>
      <c r="B93" s="696" t="s">
        <v>257</v>
      </c>
      <c r="C93" s="727">
        <f>70000+5500</f>
        <v>75500</v>
      </c>
      <c r="D93" s="727">
        <v>50000</v>
      </c>
      <c r="E93" s="680"/>
    </row>
    <row r="94" spans="1:5" s="618" customFormat="1" ht="39" customHeight="1">
      <c r="A94" s="694">
        <v>10</v>
      </c>
      <c r="B94" s="696" t="s">
        <v>258</v>
      </c>
      <c r="C94" s="727">
        <f>474000+790</f>
        <v>474790</v>
      </c>
      <c r="D94" s="727">
        <v>400000</v>
      </c>
      <c r="E94" s="680"/>
    </row>
    <row r="95" spans="1:5" s="618" customFormat="1" ht="39" customHeight="1">
      <c r="A95" s="694">
        <v>11</v>
      </c>
      <c r="B95" s="696" t="s">
        <v>120</v>
      </c>
      <c r="C95" s="728">
        <v>40000</v>
      </c>
      <c r="D95" s="728">
        <v>100000</v>
      </c>
      <c r="E95" s="680"/>
    </row>
    <row r="96" spans="1:5" s="618" customFormat="1" ht="39" customHeight="1">
      <c r="A96" s="694">
        <v>12</v>
      </c>
      <c r="B96" s="696" t="s">
        <v>259</v>
      </c>
      <c r="C96" s="728">
        <v>40000</v>
      </c>
      <c r="D96" s="728">
        <v>40000</v>
      </c>
      <c r="E96" s="680"/>
    </row>
    <row r="97" spans="1:5" s="618" customFormat="1" ht="39" customHeight="1">
      <c r="A97" s="694">
        <v>13</v>
      </c>
      <c r="B97" s="696" t="s">
        <v>260</v>
      </c>
      <c r="C97" s="727">
        <v>176500</v>
      </c>
      <c r="D97" s="727">
        <f>3000+12000</f>
        <v>15000</v>
      </c>
      <c r="E97" s="680"/>
    </row>
    <row r="98" spans="1:5" s="618" customFormat="1" ht="39" customHeight="1">
      <c r="A98" s="694">
        <v>14</v>
      </c>
      <c r="B98" s="696" t="s">
        <v>261</v>
      </c>
      <c r="C98" s="727">
        <f>50000+275</f>
        <v>50275</v>
      </c>
      <c r="D98" s="727">
        <v>15000</v>
      </c>
      <c r="E98" s="680"/>
    </row>
    <row r="99" spans="1:5" s="618" customFormat="1" ht="39" customHeight="1">
      <c r="A99" s="694">
        <v>15</v>
      </c>
      <c r="B99" s="696" t="s">
        <v>144</v>
      </c>
      <c r="C99" s="727">
        <v>8000</v>
      </c>
      <c r="D99" s="727">
        <v>0</v>
      </c>
      <c r="E99" s="680"/>
    </row>
    <row r="100" spans="1:5" s="618" customFormat="1" ht="39" customHeight="1">
      <c r="A100" s="694">
        <v>16</v>
      </c>
      <c r="B100" s="696" t="s">
        <v>262</v>
      </c>
      <c r="C100" s="727">
        <f>34000+655</f>
        <v>34655</v>
      </c>
      <c r="D100" s="727">
        <v>125000</v>
      </c>
      <c r="E100" s="680"/>
    </row>
    <row r="101" spans="1:5" s="618" customFormat="1" ht="39" customHeight="1">
      <c r="A101" s="694">
        <v>17</v>
      </c>
      <c r="B101" s="696" t="s">
        <v>147</v>
      </c>
      <c r="C101" s="727">
        <v>200000</v>
      </c>
      <c r="D101" s="727">
        <v>200000</v>
      </c>
      <c r="E101" s="680"/>
    </row>
    <row r="102" spans="1:5" s="652" customFormat="1" ht="10.5" customHeight="1">
      <c r="A102" s="699"/>
      <c r="B102" s="696"/>
      <c r="C102" s="729"/>
      <c r="D102" s="730"/>
      <c r="E102" s="658"/>
    </row>
    <row r="103" spans="1:5" s="652" customFormat="1" ht="39.950000000000003" customHeight="1" thickBot="1">
      <c r="A103" s="731"/>
      <c r="B103" s="682" t="s">
        <v>174</v>
      </c>
      <c r="C103" s="634">
        <f>SUM(C85:C101)</f>
        <v>3336975</v>
      </c>
      <c r="D103" s="634">
        <f>SUM(D85:D102)</f>
        <v>3565549</v>
      </c>
      <c r="E103" s="658"/>
    </row>
    <row r="104" spans="1:5" s="672" customFormat="1" ht="21" thickTop="1">
      <c r="A104" s="657"/>
      <c r="B104" s="657"/>
      <c r="C104" s="670"/>
      <c r="D104" s="732"/>
      <c r="E104" s="671"/>
    </row>
    <row r="105" spans="1:5" s="672" customFormat="1">
      <c r="A105" s="657"/>
      <c r="B105" s="657"/>
      <c r="C105" s="657"/>
      <c r="D105" s="657"/>
      <c r="E105" s="671"/>
    </row>
    <row r="106" spans="1:5" ht="30" customHeight="1">
      <c r="A106" s="601" t="s">
        <v>263</v>
      </c>
      <c r="B106" s="601"/>
      <c r="C106" s="601"/>
      <c r="D106" s="660"/>
    </row>
    <row r="107" spans="1:5">
      <c r="A107" s="657"/>
      <c r="B107" s="657"/>
      <c r="C107" s="657"/>
      <c r="D107" s="657"/>
    </row>
    <row r="108" spans="1:5">
      <c r="A108" s="683" t="s">
        <v>264</v>
      </c>
      <c r="B108" s="683"/>
      <c r="C108" s="710"/>
      <c r="D108" s="722"/>
    </row>
    <row r="109" spans="1:5">
      <c r="A109" s="713"/>
      <c r="B109" s="713"/>
      <c r="C109" s="714"/>
      <c r="D109" s="723"/>
    </row>
    <row r="110" spans="1:5" ht="39.950000000000003" customHeight="1">
      <c r="A110" s="673" t="s">
        <v>193</v>
      </c>
      <c r="B110" s="674" t="s">
        <v>166</v>
      </c>
      <c r="C110" s="612" t="s">
        <v>167</v>
      </c>
      <c r="D110" s="612" t="s">
        <v>181</v>
      </c>
    </row>
    <row r="111" spans="1:5">
      <c r="A111" s="724"/>
      <c r="B111" s="725"/>
      <c r="C111" s="726"/>
      <c r="D111" s="726"/>
    </row>
    <row r="112" spans="1:5" ht="39" customHeight="1">
      <c r="A112" s="694">
        <v>1</v>
      </c>
      <c r="B112" s="696" t="s">
        <v>265</v>
      </c>
      <c r="C112" s="727">
        <v>92109</v>
      </c>
      <c r="D112" s="727">
        <v>61987</v>
      </c>
    </row>
    <row r="113" spans="1:4" ht="39" customHeight="1">
      <c r="A113" s="694">
        <v>2</v>
      </c>
      <c r="B113" s="696" t="s">
        <v>266</v>
      </c>
      <c r="C113" s="727">
        <v>2500</v>
      </c>
      <c r="D113" s="727">
        <v>7500</v>
      </c>
    </row>
    <row r="114" spans="1:4" ht="39" customHeight="1">
      <c r="A114" s="694">
        <v>3</v>
      </c>
      <c r="B114" s="696" t="s">
        <v>267</v>
      </c>
      <c r="C114" s="727">
        <v>142230</v>
      </c>
      <c r="D114" s="727">
        <v>135264</v>
      </c>
    </row>
    <row r="115" spans="1:4" ht="39" customHeight="1">
      <c r="A115" s="694">
        <v>4</v>
      </c>
      <c r="B115" s="696" t="s">
        <v>268</v>
      </c>
      <c r="C115" s="727">
        <f>4774216+8424</f>
        <v>4782640</v>
      </c>
      <c r="D115" s="727">
        <v>0</v>
      </c>
    </row>
    <row r="116" spans="1:4" ht="6" customHeight="1">
      <c r="A116" s="694"/>
      <c r="B116" s="696"/>
      <c r="C116" s="727"/>
      <c r="D116" s="727"/>
    </row>
    <row r="117" spans="1:4" ht="39.950000000000003" customHeight="1" thickBot="1">
      <c r="A117" s="731"/>
      <c r="B117" s="682" t="s">
        <v>174</v>
      </c>
      <c r="C117" s="634">
        <f>SUM(C112:C116)</f>
        <v>5019479</v>
      </c>
      <c r="D117" s="634">
        <f>SUM(D112:D116)</f>
        <v>204751</v>
      </c>
    </row>
    <row r="118" spans="1:4" ht="21" thickTop="1">
      <c r="A118" s="694"/>
      <c r="B118" s="696"/>
      <c r="C118" s="727"/>
      <c r="D118" s="727"/>
    </row>
    <row r="119" spans="1:4">
      <c r="A119" s="694"/>
      <c r="B119" s="696"/>
      <c r="C119" s="727"/>
      <c r="D119" s="727"/>
    </row>
    <row r="120" spans="1:4">
      <c r="A120" s="694"/>
      <c r="B120" s="696"/>
      <c r="C120" s="727"/>
      <c r="D120" s="727"/>
    </row>
    <row r="121" spans="1:4">
      <c r="A121" s="694"/>
      <c r="B121" s="696"/>
      <c r="C121" s="727"/>
      <c r="D121" s="727"/>
    </row>
  </sheetData>
  <mergeCells count="9">
    <mergeCell ref="A69:B69"/>
    <mergeCell ref="A81:B81"/>
    <mergeCell ref="A108:B108"/>
    <mergeCell ref="A1:D1"/>
    <mergeCell ref="A2:D2"/>
    <mergeCell ref="A3:D3"/>
    <mergeCell ref="A6:B6"/>
    <mergeCell ref="A7:B7"/>
    <mergeCell ref="A47:B47"/>
  </mergeCells>
  <pageMargins left="0.70866141732283505" right="0.70866141732283505" top="0.33" bottom="0.74803149606299202" header="0.31496062992126" footer="0.31496062992126"/>
  <pageSetup paperSize="9" scale="47" orientation="portrait" errors="blank" r:id="rId1"/>
  <headerFooter scaleWithDoc="0" alignWithMargins="0"/>
  <rowBreaks count="2" manualBreakCount="2">
    <brk id="45" max="3" man="1"/>
    <brk id="95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N115"/>
  <sheetViews>
    <sheetView view="pageBreakPreview" zoomScale="43" zoomScaleSheetLayoutView="43" workbookViewId="0">
      <selection activeCell="A2" sqref="A2:J2"/>
    </sheetView>
  </sheetViews>
  <sheetFormatPr defaultColWidth="10.7109375" defaultRowHeight="25.5"/>
  <cols>
    <col min="1" max="1" width="15.42578125" style="783" customWidth="1"/>
    <col min="2" max="2" width="91.42578125" style="784" customWidth="1"/>
    <col min="3" max="3" width="33.7109375" style="785" customWidth="1"/>
    <col min="4" max="4" width="33.7109375" style="786" customWidth="1"/>
    <col min="5" max="5" width="25.140625" style="784" customWidth="1"/>
    <col min="6" max="6" width="36.7109375" style="787" customWidth="1"/>
    <col min="7" max="7" width="33.7109375" style="788" customWidth="1"/>
    <col min="8" max="9" width="33.7109375" style="785" customWidth="1"/>
    <col min="10" max="10" width="21.7109375" style="789" hidden="1" customWidth="1"/>
    <col min="11" max="11" width="26" style="790" hidden="1" customWidth="1"/>
    <col min="12" max="12" width="10.7109375" style="789" customWidth="1"/>
    <col min="13" max="13" width="30.28515625" style="789" bestFit="1" customWidth="1"/>
    <col min="14" max="14" width="33.28515625" style="789" customWidth="1"/>
    <col min="15" max="257" width="10.7109375" style="789"/>
    <col min="258" max="258" width="81" style="789" customWidth="1"/>
    <col min="259" max="265" width="22.7109375" style="789" customWidth="1"/>
    <col min="266" max="267" width="0" style="789" hidden="1" customWidth="1"/>
    <col min="268" max="513" width="10.7109375" style="789"/>
    <col min="514" max="514" width="81" style="789" customWidth="1"/>
    <col min="515" max="521" width="22.7109375" style="789" customWidth="1"/>
    <col min="522" max="523" width="0" style="789" hidden="1" customWidth="1"/>
    <col min="524" max="769" width="10.7109375" style="789"/>
    <col min="770" max="770" width="81" style="789" customWidth="1"/>
    <col min="771" max="777" width="22.7109375" style="789" customWidth="1"/>
    <col min="778" max="779" width="0" style="789" hidden="1" customWidth="1"/>
    <col min="780" max="1025" width="10.7109375" style="789"/>
    <col min="1026" max="1026" width="81" style="789" customWidth="1"/>
    <col min="1027" max="1033" width="22.7109375" style="789" customWidth="1"/>
    <col min="1034" max="1035" width="0" style="789" hidden="1" customWidth="1"/>
    <col min="1036" max="1281" width="10.7109375" style="789"/>
    <col min="1282" max="1282" width="81" style="789" customWidth="1"/>
    <col min="1283" max="1289" width="22.7109375" style="789" customWidth="1"/>
    <col min="1290" max="1291" width="0" style="789" hidden="1" customWidth="1"/>
    <col min="1292" max="1537" width="10.7109375" style="789"/>
    <col min="1538" max="1538" width="81" style="789" customWidth="1"/>
    <col min="1539" max="1545" width="22.7109375" style="789" customWidth="1"/>
    <col min="1546" max="1547" width="0" style="789" hidden="1" customWidth="1"/>
    <col min="1548" max="1793" width="10.7109375" style="789"/>
    <col min="1794" max="1794" width="81" style="789" customWidth="1"/>
    <col min="1795" max="1801" width="22.7109375" style="789" customWidth="1"/>
    <col min="1802" max="1803" width="0" style="789" hidden="1" customWidth="1"/>
    <col min="1804" max="2049" width="10.7109375" style="789"/>
    <col min="2050" max="2050" width="81" style="789" customWidth="1"/>
    <col min="2051" max="2057" width="22.7109375" style="789" customWidth="1"/>
    <col min="2058" max="2059" width="0" style="789" hidden="1" customWidth="1"/>
    <col min="2060" max="2305" width="10.7109375" style="789"/>
    <col min="2306" max="2306" width="81" style="789" customWidth="1"/>
    <col min="2307" max="2313" width="22.7109375" style="789" customWidth="1"/>
    <col min="2314" max="2315" width="0" style="789" hidden="1" customWidth="1"/>
    <col min="2316" max="2561" width="10.7109375" style="789"/>
    <col min="2562" max="2562" width="81" style="789" customWidth="1"/>
    <col min="2563" max="2569" width="22.7109375" style="789" customWidth="1"/>
    <col min="2570" max="2571" width="0" style="789" hidden="1" customWidth="1"/>
    <col min="2572" max="2817" width="10.7109375" style="789"/>
    <col min="2818" max="2818" width="81" style="789" customWidth="1"/>
    <col min="2819" max="2825" width="22.7109375" style="789" customWidth="1"/>
    <col min="2826" max="2827" width="0" style="789" hidden="1" customWidth="1"/>
    <col min="2828" max="3073" width="10.7109375" style="789"/>
    <col min="3074" max="3074" width="81" style="789" customWidth="1"/>
    <col min="3075" max="3081" width="22.7109375" style="789" customWidth="1"/>
    <col min="3082" max="3083" width="0" style="789" hidden="1" customWidth="1"/>
    <col min="3084" max="3329" width="10.7109375" style="789"/>
    <col min="3330" max="3330" width="81" style="789" customWidth="1"/>
    <col min="3331" max="3337" width="22.7109375" style="789" customWidth="1"/>
    <col min="3338" max="3339" width="0" style="789" hidden="1" customWidth="1"/>
    <col min="3340" max="3585" width="10.7109375" style="789"/>
    <col min="3586" max="3586" width="81" style="789" customWidth="1"/>
    <col min="3587" max="3593" width="22.7109375" style="789" customWidth="1"/>
    <col min="3594" max="3595" width="0" style="789" hidden="1" customWidth="1"/>
    <col min="3596" max="3841" width="10.7109375" style="789"/>
    <col min="3842" max="3842" width="81" style="789" customWidth="1"/>
    <col min="3843" max="3849" width="22.7109375" style="789" customWidth="1"/>
    <col min="3850" max="3851" width="0" style="789" hidden="1" customWidth="1"/>
    <col min="3852" max="4097" width="10.7109375" style="789"/>
    <col min="4098" max="4098" width="81" style="789" customWidth="1"/>
    <col min="4099" max="4105" width="22.7109375" style="789" customWidth="1"/>
    <col min="4106" max="4107" width="0" style="789" hidden="1" customWidth="1"/>
    <col min="4108" max="4353" width="10.7109375" style="789"/>
    <col min="4354" max="4354" width="81" style="789" customWidth="1"/>
    <col min="4355" max="4361" width="22.7109375" style="789" customWidth="1"/>
    <col min="4362" max="4363" width="0" style="789" hidden="1" customWidth="1"/>
    <col min="4364" max="4609" width="10.7109375" style="789"/>
    <col min="4610" max="4610" width="81" style="789" customWidth="1"/>
    <col min="4611" max="4617" width="22.7109375" style="789" customWidth="1"/>
    <col min="4618" max="4619" width="0" style="789" hidden="1" customWidth="1"/>
    <col min="4620" max="4865" width="10.7109375" style="789"/>
    <col min="4866" max="4866" width="81" style="789" customWidth="1"/>
    <col min="4867" max="4873" width="22.7109375" style="789" customWidth="1"/>
    <col min="4874" max="4875" width="0" style="789" hidden="1" customWidth="1"/>
    <col min="4876" max="5121" width="10.7109375" style="789"/>
    <col min="5122" max="5122" width="81" style="789" customWidth="1"/>
    <col min="5123" max="5129" width="22.7109375" style="789" customWidth="1"/>
    <col min="5130" max="5131" width="0" style="789" hidden="1" customWidth="1"/>
    <col min="5132" max="5377" width="10.7109375" style="789"/>
    <col min="5378" max="5378" width="81" style="789" customWidth="1"/>
    <col min="5379" max="5385" width="22.7109375" style="789" customWidth="1"/>
    <col min="5386" max="5387" width="0" style="789" hidden="1" customWidth="1"/>
    <col min="5388" max="5633" width="10.7109375" style="789"/>
    <col min="5634" max="5634" width="81" style="789" customWidth="1"/>
    <col min="5635" max="5641" width="22.7109375" style="789" customWidth="1"/>
    <col min="5642" max="5643" width="0" style="789" hidden="1" customWidth="1"/>
    <col min="5644" max="5889" width="10.7109375" style="789"/>
    <col min="5890" max="5890" width="81" style="789" customWidth="1"/>
    <col min="5891" max="5897" width="22.7109375" style="789" customWidth="1"/>
    <col min="5898" max="5899" width="0" style="789" hidden="1" customWidth="1"/>
    <col min="5900" max="6145" width="10.7109375" style="789"/>
    <col min="6146" max="6146" width="81" style="789" customWidth="1"/>
    <col min="6147" max="6153" width="22.7109375" style="789" customWidth="1"/>
    <col min="6154" max="6155" width="0" style="789" hidden="1" customWidth="1"/>
    <col min="6156" max="6401" width="10.7109375" style="789"/>
    <col min="6402" max="6402" width="81" style="789" customWidth="1"/>
    <col min="6403" max="6409" width="22.7109375" style="789" customWidth="1"/>
    <col min="6410" max="6411" width="0" style="789" hidden="1" customWidth="1"/>
    <col min="6412" max="6657" width="10.7109375" style="789"/>
    <col min="6658" max="6658" width="81" style="789" customWidth="1"/>
    <col min="6659" max="6665" width="22.7109375" style="789" customWidth="1"/>
    <col min="6666" max="6667" width="0" style="789" hidden="1" customWidth="1"/>
    <col min="6668" max="6913" width="10.7109375" style="789"/>
    <col min="6914" max="6914" width="81" style="789" customWidth="1"/>
    <col min="6915" max="6921" width="22.7109375" style="789" customWidth="1"/>
    <col min="6922" max="6923" width="0" style="789" hidden="1" customWidth="1"/>
    <col min="6924" max="7169" width="10.7109375" style="789"/>
    <col min="7170" max="7170" width="81" style="789" customWidth="1"/>
    <col min="7171" max="7177" width="22.7109375" style="789" customWidth="1"/>
    <col min="7178" max="7179" width="0" style="789" hidden="1" customWidth="1"/>
    <col min="7180" max="7425" width="10.7109375" style="789"/>
    <col min="7426" max="7426" width="81" style="789" customWidth="1"/>
    <col min="7427" max="7433" width="22.7109375" style="789" customWidth="1"/>
    <col min="7434" max="7435" width="0" style="789" hidden="1" customWidth="1"/>
    <col min="7436" max="7681" width="10.7109375" style="789"/>
    <col min="7682" max="7682" width="81" style="789" customWidth="1"/>
    <col min="7683" max="7689" width="22.7109375" style="789" customWidth="1"/>
    <col min="7690" max="7691" width="0" style="789" hidden="1" customWidth="1"/>
    <col min="7692" max="7937" width="10.7109375" style="789"/>
    <col min="7938" max="7938" width="81" style="789" customWidth="1"/>
    <col min="7939" max="7945" width="22.7109375" style="789" customWidth="1"/>
    <col min="7946" max="7947" width="0" style="789" hidden="1" customWidth="1"/>
    <col min="7948" max="8193" width="10.7109375" style="789"/>
    <col min="8194" max="8194" width="81" style="789" customWidth="1"/>
    <col min="8195" max="8201" width="22.7109375" style="789" customWidth="1"/>
    <col min="8202" max="8203" width="0" style="789" hidden="1" customWidth="1"/>
    <col min="8204" max="8449" width="10.7109375" style="789"/>
    <col min="8450" max="8450" width="81" style="789" customWidth="1"/>
    <col min="8451" max="8457" width="22.7109375" style="789" customWidth="1"/>
    <col min="8458" max="8459" width="0" style="789" hidden="1" customWidth="1"/>
    <col min="8460" max="8705" width="10.7109375" style="789"/>
    <col min="8706" max="8706" width="81" style="789" customWidth="1"/>
    <col min="8707" max="8713" width="22.7109375" style="789" customWidth="1"/>
    <col min="8714" max="8715" width="0" style="789" hidden="1" customWidth="1"/>
    <col min="8716" max="8961" width="10.7109375" style="789"/>
    <col min="8962" max="8962" width="81" style="789" customWidth="1"/>
    <col min="8963" max="8969" width="22.7109375" style="789" customWidth="1"/>
    <col min="8970" max="8971" width="0" style="789" hidden="1" customWidth="1"/>
    <col min="8972" max="9217" width="10.7109375" style="789"/>
    <col min="9218" max="9218" width="81" style="789" customWidth="1"/>
    <col min="9219" max="9225" width="22.7109375" style="789" customWidth="1"/>
    <col min="9226" max="9227" width="0" style="789" hidden="1" customWidth="1"/>
    <col min="9228" max="9473" width="10.7109375" style="789"/>
    <col min="9474" max="9474" width="81" style="789" customWidth="1"/>
    <col min="9475" max="9481" width="22.7109375" style="789" customWidth="1"/>
    <col min="9482" max="9483" width="0" style="789" hidden="1" customWidth="1"/>
    <col min="9484" max="9729" width="10.7109375" style="789"/>
    <col min="9730" max="9730" width="81" style="789" customWidth="1"/>
    <col min="9731" max="9737" width="22.7109375" style="789" customWidth="1"/>
    <col min="9738" max="9739" width="0" style="789" hidden="1" customWidth="1"/>
    <col min="9740" max="9985" width="10.7109375" style="789"/>
    <col min="9986" max="9986" width="81" style="789" customWidth="1"/>
    <col min="9987" max="9993" width="22.7109375" style="789" customWidth="1"/>
    <col min="9994" max="9995" width="0" style="789" hidden="1" customWidth="1"/>
    <col min="9996" max="10241" width="10.7109375" style="789"/>
    <col min="10242" max="10242" width="81" style="789" customWidth="1"/>
    <col min="10243" max="10249" width="22.7109375" style="789" customWidth="1"/>
    <col min="10250" max="10251" width="0" style="789" hidden="1" customWidth="1"/>
    <col min="10252" max="10497" width="10.7109375" style="789"/>
    <col min="10498" max="10498" width="81" style="789" customWidth="1"/>
    <col min="10499" max="10505" width="22.7109375" style="789" customWidth="1"/>
    <col min="10506" max="10507" width="0" style="789" hidden="1" customWidth="1"/>
    <col min="10508" max="10753" width="10.7109375" style="789"/>
    <col min="10754" max="10754" width="81" style="789" customWidth="1"/>
    <col min="10755" max="10761" width="22.7109375" style="789" customWidth="1"/>
    <col min="10762" max="10763" width="0" style="789" hidden="1" customWidth="1"/>
    <col min="10764" max="11009" width="10.7109375" style="789"/>
    <col min="11010" max="11010" width="81" style="789" customWidth="1"/>
    <col min="11011" max="11017" width="22.7109375" style="789" customWidth="1"/>
    <col min="11018" max="11019" width="0" style="789" hidden="1" customWidth="1"/>
    <col min="11020" max="11265" width="10.7109375" style="789"/>
    <col min="11266" max="11266" width="81" style="789" customWidth="1"/>
    <col min="11267" max="11273" width="22.7109375" style="789" customWidth="1"/>
    <col min="11274" max="11275" width="0" style="789" hidden="1" customWidth="1"/>
    <col min="11276" max="11521" width="10.7109375" style="789"/>
    <col min="11522" max="11522" width="81" style="789" customWidth="1"/>
    <col min="11523" max="11529" width="22.7109375" style="789" customWidth="1"/>
    <col min="11530" max="11531" width="0" style="789" hidden="1" customWidth="1"/>
    <col min="11532" max="11777" width="10.7109375" style="789"/>
    <col min="11778" max="11778" width="81" style="789" customWidth="1"/>
    <col min="11779" max="11785" width="22.7109375" style="789" customWidth="1"/>
    <col min="11786" max="11787" width="0" style="789" hidden="1" customWidth="1"/>
    <col min="11788" max="12033" width="10.7109375" style="789"/>
    <col min="12034" max="12034" width="81" style="789" customWidth="1"/>
    <col min="12035" max="12041" width="22.7109375" style="789" customWidth="1"/>
    <col min="12042" max="12043" width="0" style="789" hidden="1" customWidth="1"/>
    <col min="12044" max="12289" width="10.7109375" style="789"/>
    <col min="12290" max="12290" width="81" style="789" customWidth="1"/>
    <col min="12291" max="12297" width="22.7109375" style="789" customWidth="1"/>
    <col min="12298" max="12299" width="0" style="789" hidden="1" customWidth="1"/>
    <col min="12300" max="12545" width="10.7109375" style="789"/>
    <col min="12546" max="12546" width="81" style="789" customWidth="1"/>
    <col min="12547" max="12553" width="22.7109375" style="789" customWidth="1"/>
    <col min="12554" max="12555" width="0" style="789" hidden="1" customWidth="1"/>
    <col min="12556" max="12801" width="10.7109375" style="789"/>
    <col min="12802" max="12802" width="81" style="789" customWidth="1"/>
    <col min="12803" max="12809" width="22.7109375" style="789" customWidth="1"/>
    <col min="12810" max="12811" width="0" style="789" hidden="1" customWidth="1"/>
    <col min="12812" max="13057" width="10.7109375" style="789"/>
    <col min="13058" max="13058" width="81" style="789" customWidth="1"/>
    <col min="13059" max="13065" width="22.7109375" style="789" customWidth="1"/>
    <col min="13066" max="13067" width="0" style="789" hidden="1" customWidth="1"/>
    <col min="13068" max="13313" width="10.7109375" style="789"/>
    <col min="13314" max="13314" width="81" style="789" customWidth="1"/>
    <col min="13315" max="13321" width="22.7109375" style="789" customWidth="1"/>
    <col min="13322" max="13323" width="0" style="789" hidden="1" customWidth="1"/>
    <col min="13324" max="13569" width="10.7109375" style="789"/>
    <col min="13570" max="13570" width="81" style="789" customWidth="1"/>
    <col min="13571" max="13577" width="22.7109375" style="789" customWidth="1"/>
    <col min="13578" max="13579" width="0" style="789" hidden="1" customWidth="1"/>
    <col min="13580" max="13825" width="10.7109375" style="789"/>
    <col min="13826" max="13826" width="81" style="789" customWidth="1"/>
    <col min="13827" max="13833" width="22.7109375" style="789" customWidth="1"/>
    <col min="13834" max="13835" width="0" style="789" hidden="1" customWidth="1"/>
    <col min="13836" max="14081" width="10.7109375" style="789"/>
    <col min="14082" max="14082" width="81" style="789" customWidth="1"/>
    <col min="14083" max="14089" width="22.7109375" style="789" customWidth="1"/>
    <col min="14090" max="14091" width="0" style="789" hidden="1" customWidth="1"/>
    <col min="14092" max="14337" width="10.7109375" style="789"/>
    <col min="14338" max="14338" width="81" style="789" customWidth="1"/>
    <col min="14339" max="14345" width="22.7109375" style="789" customWidth="1"/>
    <col min="14346" max="14347" width="0" style="789" hidden="1" customWidth="1"/>
    <col min="14348" max="14593" width="10.7109375" style="789"/>
    <col min="14594" max="14594" width="81" style="789" customWidth="1"/>
    <col min="14595" max="14601" width="22.7109375" style="789" customWidth="1"/>
    <col min="14602" max="14603" width="0" style="789" hidden="1" customWidth="1"/>
    <col min="14604" max="14849" width="10.7109375" style="789"/>
    <col min="14850" max="14850" width="81" style="789" customWidth="1"/>
    <col min="14851" max="14857" width="22.7109375" style="789" customWidth="1"/>
    <col min="14858" max="14859" width="0" style="789" hidden="1" customWidth="1"/>
    <col min="14860" max="15105" width="10.7109375" style="789"/>
    <col min="15106" max="15106" width="81" style="789" customWidth="1"/>
    <col min="15107" max="15113" width="22.7109375" style="789" customWidth="1"/>
    <col min="15114" max="15115" width="0" style="789" hidden="1" customWidth="1"/>
    <col min="15116" max="15361" width="10.7109375" style="789"/>
    <col min="15362" max="15362" width="81" style="789" customWidth="1"/>
    <col min="15363" max="15369" width="22.7109375" style="789" customWidth="1"/>
    <col min="15370" max="15371" width="0" style="789" hidden="1" customWidth="1"/>
    <col min="15372" max="15617" width="10.7109375" style="789"/>
    <col min="15618" max="15618" width="81" style="789" customWidth="1"/>
    <col min="15619" max="15625" width="22.7109375" style="789" customWidth="1"/>
    <col min="15626" max="15627" width="0" style="789" hidden="1" customWidth="1"/>
    <col min="15628" max="15873" width="10.7109375" style="789"/>
    <col min="15874" max="15874" width="81" style="789" customWidth="1"/>
    <col min="15875" max="15881" width="22.7109375" style="789" customWidth="1"/>
    <col min="15882" max="15883" width="0" style="789" hidden="1" customWidth="1"/>
    <col min="15884" max="16129" width="10.7109375" style="789"/>
    <col min="16130" max="16130" width="81" style="789" customWidth="1"/>
    <col min="16131" max="16137" width="22.7109375" style="789" customWidth="1"/>
    <col min="16138" max="16139" width="0" style="789" hidden="1" customWidth="1"/>
    <col min="16140" max="16384" width="10.7109375" style="789"/>
  </cols>
  <sheetData>
    <row r="1" spans="1:11" s="735" customFormat="1" ht="69" customHeight="1">
      <c r="A1" s="733"/>
      <c r="B1" s="733"/>
      <c r="C1" s="733"/>
      <c r="D1" s="733"/>
      <c r="E1" s="733"/>
      <c r="F1" s="733"/>
      <c r="G1" s="733"/>
      <c r="H1" s="733"/>
      <c r="I1" s="733"/>
      <c r="J1" s="733"/>
      <c r="K1" s="734"/>
    </row>
    <row r="2" spans="1:11" s="735" customFormat="1" ht="42.75" customHeight="1">
      <c r="A2" s="736"/>
      <c r="B2" s="736"/>
      <c r="C2" s="736"/>
      <c r="D2" s="736"/>
      <c r="E2" s="736"/>
      <c r="F2" s="736"/>
      <c r="G2" s="736"/>
      <c r="H2" s="736"/>
      <c r="I2" s="736"/>
      <c r="J2" s="736"/>
      <c r="K2" s="734"/>
    </row>
    <row r="3" spans="1:11" s="735" customFormat="1" ht="75" hidden="1" customHeight="1">
      <c r="A3" s="737" t="s">
        <v>189</v>
      </c>
      <c r="B3" s="737"/>
      <c r="C3" s="737"/>
      <c r="D3" s="737"/>
      <c r="E3" s="737"/>
      <c r="F3" s="737"/>
      <c r="G3" s="737"/>
      <c r="H3" s="737"/>
      <c r="I3" s="737"/>
      <c r="J3" s="738"/>
      <c r="K3" s="734"/>
    </row>
    <row r="4" spans="1:11" s="743" customFormat="1" ht="43.5" hidden="1" customHeight="1">
      <c r="A4" s="739" t="s">
        <v>269</v>
      </c>
      <c r="B4" s="739"/>
      <c r="C4" s="739"/>
      <c r="D4" s="740"/>
      <c r="E4" s="740"/>
      <c r="F4" s="740"/>
      <c r="G4" s="740"/>
      <c r="H4" s="740"/>
      <c r="I4" s="740"/>
      <c r="J4" s="741"/>
      <c r="K4" s="742"/>
    </row>
    <row r="5" spans="1:11" s="735" customFormat="1" ht="75" customHeight="1">
      <c r="A5" s="744" t="s">
        <v>270</v>
      </c>
      <c r="B5" s="744"/>
      <c r="C5" s="744"/>
      <c r="D5" s="744"/>
      <c r="E5" s="744"/>
      <c r="F5" s="744"/>
      <c r="G5" s="744"/>
      <c r="H5" s="744"/>
      <c r="I5" s="744"/>
      <c r="J5" s="744"/>
      <c r="K5" s="734"/>
    </row>
    <row r="6" spans="1:11" s="752" customFormat="1" ht="99" customHeight="1">
      <c r="A6" s="745" t="s">
        <v>271</v>
      </c>
      <c r="B6" s="746" t="s">
        <v>272</v>
      </c>
      <c r="C6" s="747" t="s">
        <v>273</v>
      </c>
      <c r="D6" s="747" t="s">
        <v>274</v>
      </c>
      <c r="E6" s="748" t="s">
        <v>275</v>
      </c>
      <c r="F6" s="747" t="s">
        <v>276</v>
      </c>
      <c r="G6" s="747" t="s">
        <v>277</v>
      </c>
      <c r="H6" s="749" t="s">
        <v>278</v>
      </c>
      <c r="I6" s="747" t="s">
        <v>279</v>
      </c>
      <c r="J6" s="750" t="s">
        <v>280</v>
      </c>
      <c r="K6" s="751" t="s">
        <v>281</v>
      </c>
    </row>
    <row r="7" spans="1:11" s="757" customFormat="1" ht="33.75" customHeight="1">
      <c r="A7" s="753"/>
      <c r="B7" s="754"/>
      <c r="C7" s="747" t="s">
        <v>6</v>
      </c>
      <c r="D7" s="747" t="s">
        <v>6</v>
      </c>
      <c r="E7" s="748" t="s">
        <v>6</v>
      </c>
      <c r="F7" s="747" t="s">
        <v>6</v>
      </c>
      <c r="G7" s="747" t="s">
        <v>282</v>
      </c>
      <c r="H7" s="747" t="s">
        <v>6</v>
      </c>
      <c r="I7" s="747" t="s">
        <v>6</v>
      </c>
      <c r="J7" s="755"/>
      <c r="K7" s="756"/>
    </row>
    <row r="8" spans="1:11" s="768" customFormat="1" ht="50.1" customHeight="1">
      <c r="A8" s="758">
        <v>1</v>
      </c>
      <c r="B8" s="759" t="s">
        <v>283</v>
      </c>
      <c r="C8" s="760">
        <v>3989</v>
      </c>
      <c r="D8" s="760">
        <v>0</v>
      </c>
      <c r="E8" s="761">
        <v>0</v>
      </c>
      <c r="F8" s="762">
        <f t="shared" ref="F8:F71" si="0">+C8+D8-E8</f>
        <v>3989</v>
      </c>
      <c r="G8" s="763">
        <v>15</v>
      </c>
      <c r="H8" s="764">
        <f t="shared" ref="H8:H71" si="1">ROUNDDOWN(F8*G8/100,0)</f>
        <v>598</v>
      </c>
      <c r="I8" s="765">
        <f t="shared" ref="I8:I71" si="2">+F8-H8</f>
        <v>3391</v>
      </c>
      <c r="J8" s="766" t="s">
        <v>284</v>
      </c>
      <c r="K8" s="767">
        <v>15</v>
      </c>
    </row>
    <row r="9" spans="1:11" s="768" customFormat="1" ht="50.1" customHeight="1">
      <c r="A9" s="758">
        <v>2</v>
      </c>
      <c r="B9" s="759" t="s">
        <v>285</v>
      </c>
      <c r="C9" s="760">
        <v>47385</v>
      </c>
      <c r="D9" s="760">
        <f>444682.36-20671-1550-223</f>
        <v>422238.36</v>
      </c>
      <c r="E9" s="761">
        <v>0</v>
      </c>
      <c r="F9" s="762">
        <f t="shared" si="0"/>
        <v>469623.36</v>
      </c>
      <c r="G9" s="763">
        <v>10</v>
      </c>
      <c r="H9" s="764">
        <f t="shared" si="1"/>
        <v>46962</v>
      </c>
      <c r="I9" s="765">
        <f t="shared" si="2"/>
        <v>422661.36</v>
      </c>
      <c r="J9" s="766" t="s">
        <v>286</v>
      </c>
      <c r="K9" s="767">
        <v>10</v>
      </c>
    </row>
    <row r="10" spans="1:11" s="768" customFormat="1" ht="50.1" customHeight="1">
      <c r="A10" s="758">
        <v>3</v>
      </c>
      <c r="B10" s="759" t="s">
        <v>287</v>
      </c>
      <c r="C10" s="760">
        <v>28800</v>
      </c>
      <c r="D10" s="760">
        <v>0</v>
      </c>
      <c r="E10" s="761">
        <v>0</v>
      </c>
      <c r="F10" s="762">
        <f t="shared" si="0"/>
        <v>28800</v>
      </c>
      <c r="G10" s="763">
        <v>60</v>
      </c>
      <c r="H10" s="764">
        <f t="shared" si="1"/>
        <v>17280</v>
      </c>
      <c r="I10" s="765">
        <f t="shared" si="2"/>
        <v>11520</v>
      </c>
      <c r="J10" s="766" t="s">
        <v>286</v>
      </c>
      <c r="K10" s="767">
        <v>10</v>
      </c>
    </row>
    <row r="11" spans="1:11" s="768" customFormat="1" ht="50.1" customHeight="1">
      <c r="A11" s="758">
        <v>4</v>
      </c>
      <c r="B11" s="759" t="s">
        <v>288</v>
      </c>
      <c r="C11" s="760">
        <v>45706</v>
      </c>
      <c r="D11" s="760">
        <v>0</v>
      </c>
      <c r="E11" s="761">
        <v>0</v>
      </c>
      <c r="F11" s="762">
        <f t="shared" si="0"/>
        <v>45706</v>
      </c>
      <c r="G11" s="763">
        <v>10</v>
      </c>
      <c r="H11" s="764">
        <f t="shared" si="1"/>
        <v>4570</v>
      </c>
      <c r="I11" s="765">
        <f t="shared" si="2"/>
        <v>41136</v>
      </c>
      <c r="J11" s="766" t="s">
        <v>284</v>
      </c>
      <c r="K11" s="767">
        <v>10</v>
      </c>
    </row>
    <row r="12" spans="1:11" s="768" customFormat="1" ht="50.1" customHeight="1">
      <c r="A12" s="758">
        <v>5</v>
      </c>
      <c r="B12" s="759" t="s">
        <v>289</v>
      </c>
      <c r="C12" s="760">
        <v>3963</v>
      </c>
      <c r="D12" s="760">
        <v>0</v>
      </c>
      <c r="E12" s="761">
        <v>0</v>
      </c>
      <c r="F12" s="762">
        <f t="shared" si="0"/>
        <v>3963</v>
      </c>
      <c r="G12" s="763">
        <v>10</v>
      </c>
      <c r="H12" s="764">
        <f t="shared" si="1"/>
        <v>396</v>
      </c>
      <c r="I12" s="765">
        <f t="shared" si="2"/>
        <v>3567</v>
      </c>
      <c r="J12" s="766" t="s">
        <v>284</v>
      </c>
      <c r="K12" s="767">
        <v>15</v>
      </c>
    </row>
    <row r="13" spans="1:11" s="768" customFormat="1" ht="50.1" customHeight="1">
      <c r="A13" s="758">
        <v>6</v>
      </c>
      <c r="B13" s="759" t="s">
        <v>290</v>
      </c>
      <c r="C13" s="760">
        <v>1</v>
      </c>
      <c r="D13" s="760">
        <v>0</v>
      </c>
      <c r="E13" s="761">
        <v>0</v>
      </c>
      <c r="F13" s="762">
        <f t="shared" si="0"/>
        <v>1</v>
      </c>
      <c r="G13" s="763">
        <v>0</v>
      </c>
      <c r="H13" s="764">
        <f t="shared" si="1"/>
        <v>0</v>
      </c>
      <c r="I13" s="765">
        <f t="shared" si="2"/>
        <v>1</v>
      </c>
      <c r="J13" s="766"/>
      <c r="K13" s="767"/>
    </row>
    <row r="14" spans="1:11" s="768" customFormat="1" ht="50.1" customHeight="1">
      <c r="A14" s="758">
        <v>7</v>
      </c>
      <c r="B14" s="759" t="s">
        <v>291</v>
      </c>
      <c r="C14" s="760">
        <v>58774</v>
      </c>
      <c r="D14" s="760">
        <v>0</v>
      </c>
      <c r="E14" s="761">
        <v>0</v>
      </c>
      <c r="F14" s="762">
        <f t="shared" si="0"/>
        <v>58774</v>
      </c>
      <c r="G14" s="763">
        <v>15</v>
      </c>
      <c r="H14" s="764">
        <f t="shared" si="1"/>
        <v>8816</v>
      </c>
      <c r="I14" s="765">
        <f t="shared" si="2"/>
        <v>49958</v>
      </c>
      <c r="J14" s="766" t="s">
        <v>286</v>
      </c>
      <c r="K14" s="767">
        <v>10</v>
      </c>
    </row>
    <row r="15" spans="1:11" s="768" customFormat="1" ht="50.1" customHeight="1">
      <c r="A15" s="758">
        <v>8</v>
      </c>
      <c r="B15" s="759" t="s">
        <v>292</v>
      </c>
      <c r="C15" s="761">
        <v>0</v>
      </c>
      <c r="D15" s="760">
        <v>52068</v>
      </c>
      <c r="E15" s="761">
        <v>0</v>
      </c>
      <c r="F15" s="762">
        <f t="shared" si="0"/>
        <v>52068</v>
      </c>
      <c r="G15" s="763">
        <v>15</v>
      </c>
      <c r="H15" s="764">
        <f t="shared" si="1"/>
        <v>7810</v>
      </c>
      <c r="I15" s="765">
        <f t="shared" si="2"/>
        <v>44258</v>
      </c>
      <c r="J15" s="766" t="s">
        <v>284</v>
      </c>
      <c r="K15" s="767">
        <v>15</v>
      </c>
    </row>
    <row r="16" spans="1:11" s="768" customFormat="1" ht="50.1" customHeight="1">
      <c r="A16" s="758">
        <v>9</v>
      </c>
      <c r="B16" s="759" t="s">
        <v>293</v>
      </c>
      <c r="C16" s="760">
        <v>1</v>
      </c>
      <c r="D16" s="760">
        <v>0</v>
      </c>
      <c r="E16" s="761">
        <v>0</v>
      </c>
      <c r="F16" s="762">
        <f t="shared" si="0"/>
        <v>1</v>
      </c>
      <c r="G16" s="763">
        <v>0</v>
      </c>
      <c r="H16" s="764">
        <f t="shared" si="1"/>
        <v>0</v>
      </c>
      <c r="I16" s="765">
        <f t="shared" si="2"/>
        <v>1</v>
      </c>
      <c r="J16" s="766"/>
      <c r="K16" s="767"/>
    </row>
    <row r="17" spans="1:11" s="768" customFormat="1" ht="50.1" customHeight="1">
      <c r="A17" s="758">
        <v>10</v>
      </c>
      <c r="B17" s="759" t="s">
        <v>294</v>
      </c>
      <c r="C17" s="760">
        <v>1</v>
      </c>
      <c r="D17" s="760">
        <v>0</v>
      </c>
      <c r="E17" s="761">
        <v>0</v>
      </c>
      <c r="F17" s="762">
        <f t="shared" si="0"/>
        <v>1</v>
      </c>
      <c r="G17" s="763">
        <v>0</v>
      </c>
      <c r="H17" s="764">
        <f t="shared" si="1"/>
        <v>0</v>
      </c>
      <c r="I17" s="765">
        <f t="shared" si="2"/>
        <v>1</v>
      </c>
      <c r="J17" s="766" t="s">
        <v>295</v>
      </c>
      <c r="K17" s="767">
        <v>100</v>
      </c>
    </row>
    <row r="18" spans="1:11" s="768" customFormat="1" ht="50.1" customHeight="1">
      <c r="A18" s="758">
        <v>11</v>
      </c>
      <c r="B18" s="759" t="s">
        <v>296</v>
      </c>
      <c r="C18" s="760">
        <v>80876.882500000007</v>
      </c>
      <c r="D18" s="760">
        <f>241255.36-4835-17500-7335</f>
        <v>211585.36</v>
      </c>
      <c r="E18" s="761">
        <v>0</v>
      </c>
      <c r="F18" s="762">
        <f t="shared" si="0"/>
        <v>292462.24249999999</v>
      </c>
      <c r="G18" s="763">
        <v>10</v>
      </c>
      <c r="H18" s="764">
        <f t="shared" si="1"/>
        <v>29246</v>
      </c>
      <c r="I18" s="765">
        <f t="shared" si="2"/>
        <v>263216.24249999999</v>
      </c>
      <c r="J18" s="766" t="s">
        <v>286</v>
      </c>
      <c r="K18" s="767">
        <v>10</v>
      </c>
    </row>
    <row r="19" spans="1:11" s="768" customFormat="1" ht="50.1" customHeight="1">
      <c r="A19" s="758">
        <v>12</v>
      </c>
      <c r="B19" s="759" t="s">
        <v>297</v>
      </c>
      <c r="C19" s="760">
        <v>63008</v>
      </c>
      <c r="D19" s="760">
        <v>0</v>
      </c>
      <c r="E19" s="761">
        <v>0</v>
      </c>
      <c r="F19" s="762">
        <f t="shared" si="0"/>
        <v>63008</v>
      </c>
      <c r="G19" s="763">
        <v>50</v>
      </c>
      <c r="H19" s="764">
        <f t="shared" si="1"/>
        <v>31504</v>
      </c>
      <c r="I19" s="765">
        <f t="shared" si="2"/>
        <v>31504</v>
      </c>
      <c r="J19" s="766"/>
      <c r="K19" s="767"/>
    </row>
    <row r="20" spans="1:11" s="768" customFormat="1" ht="50.1" customHeight="1">
      <c r="A20" s="758">
        <v>13</v>
      </c>
      <c r="B20" s="759" t="s">
        <v>298</v>
      </c>
      <c r="C20" s="761">
        <v>0</v>
      </c>
      <c r="D20" s="760">
        <v>57029</v>
      </c>
      <c r="E20" s="761">
        <v>0</v>
      </c>
      <c r="F20" s="762">
        <f t="shared" si="0"/>
        <v>57029</v>
      </c>
      <c r="G20" s="763">
        <v>10</v>
      </c>
      <c r="H20" s="764">
        <f t="shared" si="1"/>
        <v>5702</v>
      </c>
      <c r="I20" s="765">
        <f t="shared" si="2"/>
        <v>51327</v>
      </c>
      <c r="J20" s="766" t="s">
        <v>299</v>
      </c>
      <c r="K20" s="767">
        <v>60</v>
      </c>
    </row>
    <row r="21" spans="1:11" s="768" customFormat="1" ht="50.1" customHeight="1">
      <c r="A21" s="758">
        <v>14</v>
      </c>
      <c r="B21" s="759" t="s">
        <v>300</v>
      </c>
      <c r="C21" s="760">
        <v>1460</v>
      </c>
      <c r="D21" s="760">
        <v>0</v>
      </c>
      <c r="E21" s="761">
        <v>0</v>
      </c>
      <c r="F21" s="762">
        <f t="shared" si="0"/>
        <v>1460</v>
      </c>
      <c r="G21" s="763">
        <v>10</v>
      </c>
      <c r="H21" s="764">
        <f t="shared" si="1"/>
        <v>146</v>
      </c>
      <c r="I21" s="765">
        <f t="shared" si="2"/>
        <v>1314</v>
      </c>
      <c r="J21" s="766">
        <v>0</v>
      </c>
      <c r="K21" s="767">
        <v>100</v>
      </c>
    </row>
    <row r="22" spans="1:11" s="768" customFormat="1" ht="50.1" customHeight="1">
      <c r="A22" s="758">
        <v>15</v>
      </c>
      <c r="B22" s="759" t="s">
        <v>301</v>
      </c>
      <c r="C22" s="760">
        <v>13014</v>
      </c>
      <c r="D22" s="760">
        <v>0</v>
      </c>
      <c r="E22" s="761">
        <v>0</v>
      </c>
      <c r="F22" s="762">
        <f t="shared" si="0"/>
        <v>13014</v>
      </c>
      <c r="G22" s="763">
        <v>10</v>
      </c>
      <c r="H22" s="764">
        <f t="shared" si="1"/>
        <v>1301</v>
      </c>
      <c r="I22" s="765">
        <f t="shared" si="2"/>
        <v>11713</v>
      </c>
      <c r="J22" s="766" t="s">
        <v>286</v>
      </c>
      <c r="K22" s="767">
        <v>10</v>
      </c>
    </row>
    <row r="23" spans="1:11" s="768" customFormat="1" ht="50.1" customHeight="1">
      <c r="A23" s="758">
        <v>16</v>
      </c>
      <c r="B23" s="759" t="s">
        <v>302</v>
      </c>
      <c r="C23" s="760">
        <v>4059</v>
      </c>
      <c r="D23" s="760">
        <v>0</v>
      </c>
      <c r="E23" s="761">
        <v>0</v>
      </c>
      <c r="F23" s="762">
        <f t="shared" si="0"/>
        <v>4059</v>
      </c>
      <c r="G23" s="763">
        <v>15</v>
      </c>
      <c r="H23" s="764">
        <f t="shared" si="1"/>
        <v>608</v>
      </c>
      <c r="I23" s="765">
        <f t="shared" si="2"/>
        <v>3451</v>
      </c>
      <c r="J23" s="766" t="s">
        <v>286</v>
      </c>
      <c r="K23" s="767">
        <v>10</v>
      </c>
    </row>
    <row r="24" spans="1:11" s="768" customFormat="1" ht="50.1" customHeight="1">
      <c r="A24" s="758">
        <v>17</v>
      </c>
      <c r="B24" s="769" t="s">
        <v>303</v>
      </c>
      <c r="C24" s="760">
        <v>42501</v>
      </c>
      <c r="D24" s="760">
        <v>445000</v>
      </c>
      <c r="E24" s="761">
        <v>0</v>
      </c>
      <c r="F24" s="762">
        <f t="shared" si="0"/>
        <v>487501</v>
      </c>
      <c r="G24" s="763">
        <v>15</v>
      </c>
      <c r="H24" s="764">
        <f t="shared" si="1"/>
        <v>73125</v>
      </c>
      <c r="I24" s="765">
        <f t="shared" si="2"/>
        <v>414376</v>
      </c>
      <c r="J24" s="766" t="s">
        <v>304</v>
      </c>
      <c r="K24" s="767">
        <v>100</v>
      </c>
    </row>
    <row r="25" spans="1:11" s="768" customFormat="1" ht="50.1" customHeight="1">
      <c r="A25" s="758">
        <v>18</v>
      </c>
      <c r="B25" s="759" t="s">
        <v>305</v>
      </c>
      <c r="C25" s="760">
        <v>25500</v>
      </c>
      <c r="D25" s="760">
        <v>12760</v>
      </c>
      <c r="E25" s="761">
        <v>0</v>
      </c>
      <c r="F25" s="762">
        <f t="shared" si="0"/>
        <v>38260</v>
      </c>
      <c r="G25" s="763">
        <v>50</v>
      </c>
      <c r="H25" s="764">
        <f t="shared" si="1"/>
        <v>19130</v>
      </c>
      <c r="I25" s="765">
        <f t="shared" si="2"/>
        <v>19130</v>
      </c>
      <c r="J25" s="766" t="s">
        <v>284</v>
      </c>
      <c r="K25" s="767">
        <v>15</v>
      </c>
    </row>
    <row r="26" spans="1:11" s="768" customFormat="1" ht="55.5">
      <c r="A26" s="758">
        <v>19</v>
      </c>
      <c r="B26" s="769" t="s">
        <v>306</v>
      </c>
      <c r="C26" s="760">
        <v>66947</v>
      </c>
      <c r="D26" s="760">
        <v>26904</v>
      </c>
      <c r="E26" s="761">
        <v>0</v>
      </c>
      <c r="F26" s="762">
        <f t="shared" si="0"/>
        <v>93851</v>
      </c>
      <c r="G26" s="763">
        <v>15</v>
      </c>
      <c r="H26" s="764">
        <f t="shared" si="1"/>
        <v>14077</v>
      </c>
      <c r="I26" s="765">
        <f t="shared" si="2"/>
        <v>79774</v>
      </c>
      <c r="J26" s="766" t="s">
        <v>286</v>
      </c>
      <c r="K26" s="767">
        <v>10</v>
      </c>
    </row>
    <row r="27" spans="1:11" s="768" customFormat="1" ht="50.1" customHeight="1">
      <c r="A27" s="758">
        <v>20</v>
      </c>
      <c r="B27" s="759" t="s">
        <v>307</v>
      </c>
      <c r="C27" s="760">
        <v>33827</v>
      </c>
      <c r="D27" s="760">
        <v>0</v>
      </c>
      <c r="E27" s="761">
        <v>0</v>
      </c>
      <c r="F27" s="762">
        <f t="shared" si="0"/>
        <v>33827</v>
      </c>
      <c r="G27" s="763">
        <v>10</v>
      </c>
      <c r="H27" s="764">
        <f t="shared" si="1"/>
        <v>3382</v>
      </c>
      <c r="I27" s="765">
        <f t="shared" si="2"/>
        <v>30445</v>
      </c>
      <c r="J27" s="766" t="s">
        <v>308</v>
      </c>
      <c r="K27" s="767">
        <v>60</v>
      </c>
    </row>
    <row r="28" spans="1:11" s="768" customFormat="1" ht="50.1" customHeight="1">
      <c r="A28" s="758">
        <v>21</v>
      </c>
      <c r="B28" s="759" t="s">
        <v>309</v>
      </c>
      <c r="C28" s="760">
        <v>6355</v>
      </c>
      <c r="D28" s="760">
        <v>0</v>
      </c>
      <c r="E28" s="761">
        <v>0</v>
      </c>
      <c r="F28" s="762">
        <f t="shared" si="0"/>
        <v>6355</v>
      </c>
      <c r="G28" s="763">
        <v>60</v>
      </c>
      <c r="H28" s="764">
        <f t="shared" si="1"/>
        <v>3813</v>
      </c>
      <c r="I28" s="765">
        <f t="shared" si="2"/>
        <v>2542</v>
      </c>
      <c r="J28" s="766" t="s">
        <v>286</v>
      </c>
      <c r="K28" s="767">
        <v>10</v>
      </c>
    </row>
    <row r="29" spans="1:11" s="768" customFormat="1" ht="50.1" customHeight="1">
      <c r="A29" s="758">
        <v>22</v>
      </c>
      <c r="B29" s="759" t="s">
        <v>310</v>
      </c>
      <c r="C29" s="760">
        <v>5949</v>
      </c>
      <c r="D29" s="760">
        <v>0</v>
      </c>
      <c r="E29" s="761">
        <v>0</v>
      </c>
      <c r="F29" s="762">
        <f t="shared" si="0"/>
        <v>5949</v>
      </c>
      <c r="G29" s="763">
        <v>10</v>
      </c>
      <c r="H29" s="764">
        <f t="shared" si="1"/>
        <v>594</v>
      </c>
      <c r="I29" s="765">
        <f t="shared" si="2"/>
        <v>5355</v>
      </c>
      <c r="J29" s="766" t="s">
        <v>286</v>
      </c>
      <c r="K29" s="770">
        <v>10</v>
      </c>
    </row>
    <row r="30" spans="1:11" s="768" customFormat="1" ht="50.1" customHeight="1">
      <c r="A30" s="758">
        <v>23</v>
      </c>
      <c r="B30" s="759" t="s">
        <v>311</v>
      </c>
      <c r="C30" s="760">
        <v>3071</v>
      </c>
      <c r="D30" s="760">
        <v>35000</v>
      </c>
      <c r="E30" s="761">
        <v>0</v>
      </c>
      <c r="F30" s="762">
        <f t="shared" si="0"/>
        <v>38071</v>
      </c>
      <c r="G30" s="763">
        <v>60</v>
      </c>
      <c r="H30" s="764">
        <f t="shared" si="1"/>
        <v>22842</v>
      </c>
      <c r="I30" s="765">
        <f t="shared" si="2"/>
        <v>15229</v>
      </c>
      <c r="J30" s="766">
        <v>0</v>
      </c>
      <c r="K30" s="767">
        <v>60</v>
      </c>
    </row>
    <row r="31" spans="1:11" s="768" customFormat="1" ht="50.1" customHeight="1">
      <c r="A31" s="758">
        <v>24</v>
      </c>
      <c r="B31" s="759" t="s">
        <v>312</v>
      </c>
      <c r="C31" s="761">
        <v>0</v>
      </c>
      <c r="D31" s="760">
        <v>14970</v>
      </c>
      <c r="E31" s="761">
        <v>0</v>
      </c>
      <c r="F31" s="762">
        <f t="shared" si="0"/>
        <v>14970</v>
      </c>
      <c r="G31" s="763">
        <v>10</v>
      </c>
      <c r="H31" s="764">
        <f t="shared" si="1"/>
        <v>1497</v>
      </c>
      <c r="I31" s="765">
        <f t="shared" si="2"/>
        <v>13473</v>
      </c>
      <c r="J31" s="766"/>
      <c r="K31" s="767"/>
    </row>
    <row r="32" spans="1:11" s="768" customFormat="1" ht="50.1" customHeight="1">
      <c r="A32" s="758">
        <v>25</v>
      </c>
      <c r="B32" s="759" t="s">
        <v>313</v>
      </c>
      <c r="C32" s="760">
        <v>6350</v>
      </c>
      <c r="D32" s="760">
        <v>195747</v>
      </c>
      <c r="E32" s="761">
        <v>0</v>
      </c>
      <c r="F32" s="762">
        <f t="shared" si="0"/>
        <v>202097</v>
      </c>
      <c r="G32" s="763">
        <v>40</v>
      </c>
      <c r="H32" s="764">
        <f t="shared" si="1"/>
        <v>80838</v>
      </c>
      <c r="I32" s="765">
        <f t="shared" si="2"/>
        <v>121259</v>
      </c>
      <c r="J32" s="766" t="s">
        <v>284</v>
      </c>
      <c r="K32" s="767">
        <v>20</v>
      </c>
    </row>
    <row r="33" spans="1:11" s="768" customFormat="1" ht="50.1" customHeight="1">
      <c r="A33" s="758">
        <v>26</v>
      </c>
      <c r="B33" s="759" t="s">
        <v>314</v>
      </c>
      <c r="C33" s="760">
        <v>537441</v>
      </c>
      <c r="D33" s="760">
        <v>0</v>
      </c>
      <c r="E33" s="761">
        <v>0</v>
      </c>
      <c r="F33" s="762">
        <f t="shared" si="0"/>
        <v>537441</v>
      </c>
      <c r="G33" s="763">
        <v>15</v>
      </c>
      <c r="H33" s="764">
        <f t="shared" si="1"/>
        <v>80616</v>
      </c>
      <c r="I33" s="765">
        <f t="shared" si="2"/>
        <v>456825</v>
      </c>
      <c r="J33" s="766" t="s">
        <v>286</v>
      </c>
      <c r="K33" s="767">
        <v>10</v>
      </c>
    </row>
    <row r="34" spans="1:11" s="768" customFormat="1" ht="50.1" customHeight="1">
      <c r="A34" s="758">
        <v>27</v>
      </c>
      <c r="B34" s="759" t="s">
        <v>315</v>
      </c>
      <c r="C34" s="760">
        <f>1361724-34710</f>
        <v>1327014</v>
      </c>
      <c r="D34" s="760">
        <f>17500</f>
        <v>17500</v>
      </c>
      <c r="E34" s="761">
        <v>0</v>
      </c>
      <c r="F34" s="762">
        <f t="shared" si="0"/>
        <v>1344514</v>
      </c>
      <c r="G34" s="763">
        <v>10</v>
      </c>
      <c r="H34" s="764">
        <f t="shared" si="1"/>
        <v>134451</v>
      </c>
      <c r="I34" s="765">
        <f t="shared" si="2"/>
        <v>1210063</v>
      </c>
      <c r="J34" s="766">
        <v>0</v>
      </c>
      <c r="K34" s="767">
        <v>0</v>
      </c>
    </row>
    <row r="35" spans="1:11" s="768" customFormat="1" ht="50.1" customHeight="1">
      <c r="A35" s="758">
        <v>28</v>
      </c>
      <c r="B35" s="759" t="s">
        <v>316</v>
      </c>
      <c r="C35" s="760">
        <v>46350</v>
      </c>
      <c r="D35" s="760">
        <v>0</v>
      </c>
      <c r="E35" s="761">
        <v>0</v>
      </c>
      <c r="F35" s="762">
        <f t="shared" si="0"/>
        <v>46350</v>
      </c>
      <c r="G35" s="763">
        <v>10</v>
      </c>
      <c r="H35" s="764">
        <f t="shared" si="1"/>
        <v>4635</v>
      </c>
      <c r="I35" s="765">
        <f t="shared" si="2"/>
        <v>41715</v>
      </c>
      <c r="J35" s="766"/>
      <c r="K35" s="767"/>
    </row>
    <row r="36" spans="1:11" s="768" customFormat="1" ht="50.1" customHeight="1">
      <c r="A36" s="758">
        <v>29</v>
      </c>
      <c r="B36" s="759" t="s">
        <v>317</v>
      </c>
      <c r="C36" s="760">
        <v>125370</v>
      </c>
      <c r="D36" s="760">
        <f>91152-9252</f>
        <v>81900</v>
      </c>
      <c r="E36" s="761">
        <v>0</v>
      </c>
      <c r="F36" s="762">
        <f t="shared" si="0"/>
        <v>207270</v>
      </c>
      <c r="G36" s="763">
        <v>15</v>
      </c>
      <c r="H36" s="764">
        <f t="shared" si="1"/>
        <v>31090</v>
      </c>
      <c r="I36" s="765">
        <f t="shared" si="2"/>
        <v>176180</v>
      </c>
      <c r="J36" s="766"/>
      <c r="K36" s="767"/>
    </row>
    <row r="37" spans="1:11" s="768" customFormat="1" ht="50.1" customHeight="1">
      <c r="A37" s="758">
        <v>30</v>
      </c>
      <c r="B37" s="759" t="s">
        <v>318</v>
      </c>
      <c r="C37" s="760">
        <v>178572.171</v>
      </c>
      <c r="D37" s="760">
        <v>2548</v>
      </c>
      <c r="E37" s="761">
        <v>0</v>
      </c>
      <c r="F37" s="762">
        <f t="shared" si="0"/>
        <v>181120.171</v>
      </c>
      <c r="G37" s="763">
        <v>10</v>
      </c>
      <c r="H37" s="764">
        <f t="shared" si="1"/>
        <v>18112</v>
      </c>
      <c r="I37" s="765">
        <f t="shared" si="2"/>
        <v>163008.171</v>
      </c>
      <c r="J37" s="766"/>
      <c r="K37" s="767"/>
    </row>
    <row r="38" spans="1:11" s="768" customFormat="1" ht="50.1" customHeight="1">
      <c r="A38" s="758">
        <v>31</v>
      </c>
      <c r="B38" s="759" t="s">
        <v>319</v>
      </c>
      <c r="C38" s="760">
        <v>90301</v>
      </c>
      <c r="D38" s="760">
        <f>52244-1876-294</f>
        <v>50074</v>
      </c>
      <c r="E38" s="761">
        <v>0</v>
      </c>
      <c r="F38" s="762">
        <f t="shared" si="0"/>
        <v>140375</v>
      </c>
      <c r="G38" s="763">
        <v>10</v>
      </c>
      <c r="H38" s="764">
        <f t="shared" si="1"/>
        <v>14037</v>
      </c>
      <c r="I38" s="765">
        <f t="shared" si="2"/>
        <v>126338</v>
      </c>
      <c r="J38" s="766" t="s">
        <v>286</v>
      </c>
      <c r="K38" s="767">
        <v>15</v>
      </c>
    </row>
    <row r="39" spans="1:11" s="768" customFormat="1" ht="50.1" customHeight="1">
      <c r="A39" s="758">
        <v>32</v>
      </c>
      <c r="B39" s="759" t="s">
        <v>320</v>
      </c>
      <c r="C39" s="760">
        <v>34126.97</v>
      </c>
      <c r="D39" s="760">
        <v>0</v>
      </c>
      <c r="E39" s="761">
        <v>0</v>
      </c>
      <c r="F39" s="762">
        <f t="shared" si="0"/>
        <v>34126.97</v>
      </c>
      <c r="G39" s="763">
        <v>10</v>
      </c>
      <c r="H39" s="764">
        <f t="shared" si="1"/>
        <v>3412</v>
      </c>
      <c r="I39" s="765">
        <f t="shared" si="2"/>
        <v>30714.97</v>
      </c>
      <c r="J39" s="766">
        <v>0</v>
      </c>
      <c r="K39" s="767"/>
    </row>
    <row r="40" spans="1:11" s="768" customFormat="1" ht="50.1" customHeight="1">
      <c r="A40" s="758">
        <v>33</v>
      </c>
      <c r="B40" s="759" t="s">
        <v>321</v>
      </c>
      <c r="C40" s="760">
        <v>13997.713499999998</v>
      </c>
      <c r="D40" s="760">
        <v>0</v>
      </c>
      <c r="E40" s="761">
        <v>0</v>
      </c>
      <c r="F40" s="762">
        <f t="shared" si="0"/>
        <v>13997.713499999998</v>
      </c>
      <c r="G40" s="763">
        <v>15</v>
      </c>
      <c r="H40" s="764">
        <f t="shared" si="1"/>
        <v>2099</v>
      </c>
      <c r="I40" s="765">
        <f t="shared" si="2"/>
        <v>11898.713499999998</v>
      </c>
      <c r="J40" s="766" t="s">
        <v>284</v>
      </c>
      <c r="K40" s="767">
        <v>15</v>
      </c>
    </row>
    <row r="41" spans="1:11" s="768" customFormat="1" ht="50.1" customHeight="1">
      <c r="A41" s="758">
        <v>34</v>
      </c>
      <c r="B41" s="759" t="s">
        <v>322</v>
      </c>
      <c r="C41" s="760">
        <v>80640</v>
      </c>
      <c r="D41" s="760">
        <f>86000-13119</f>
        <v>72881</v>
      </c>
      <c r="E41" s="761">
        <v>0</v>
      </c>
      <c r="F41" s="762">
        <f t="shared" si="0"/>
        <v>153521</v>
      </c>
      <c r="G41" s="763">
        <v>60</v>
      </c>
      <c r="H41" s="764">
        <f t="shared" si="1"/>
        <v>92112</v>
      </c>
      <c r="I41" s="765">
        <f t="shared" si="2"/>
        <v>61409</v>
      </c>
      <c r="J41" s="766" t="s">
        <v>286</v>
      </c>
      <c r="K41" s="767">
        <v>10</v>
      </c>
    </row>
    <row r="42" spans="1:11" s="768" customFormat="1" ht="50.1" customHeight="1">
      <c r="A42" s="758">
        <v>35</v>
      </c>
      <c r="B42" s="759" t="s">
        <v>323</v>
      </c>
      <c r="C42" s="760">
        <v>1</v>
      </c>
      <c r="D42" s="760">
        <v>0</v>
      </c>
      <c r="E42" s="761">
        <v>0</v>
      </c>
      <c r="F42" s="762">
        <f t="shared" si="0"/>
        <v>1</v>
      </c>
      <c r="G42" s="763">
        <v>0</v>
      </c>
      <c r="H42" s="764">
        <f t="shared" si="1"/>
        <v>0</v>
      </c>
      <c r="I42" s="765">
        <f t="shared" si="2"/>
        <v>1</v>
      </c>
      <c r="J42" s="766" t="s">
        <v>284</v>
      </c>
      <c r="K42" s="767">
        <v>15</v>
      </c>
    </row>
    <row r="43" spans="1:11" s="768" customFormat="1" ht="50.1" customHeight="1">
      <c r="A43" s="758">
        <v>36</v>
      </c>
      <c r="B43" s="759" t="s">
        <v>324</v>
      </c>
      <c r="C43" s="760">
        <v>56057</v>
      </c>
      <c r="D43" s="760">
        <v>0</v>
      </c>
      <c r="E43" s="761">
        <v>0</v>
      </c>
      <c r="F43" s="762">
        <f t="shared" si="0"/>
        <v>56057</v>
      </c>
      <c r="G43" s="763">
        <v>10</v>
      </c>
      <c r="H43" s="764">
        <f t="shared" si="1"/>
        <v>5605</v>
      </c>
      <c r="I43" s="765">
        <f t="shared" si="2"/>
        <v>50452</v>
      </c>
      <c r="J43" s="766" t="s">
        <v>284</v>
      </c>
      <c r="K43" s="767">
        <v>15</v>
      </c>
    </row>
    <row r="44" spans="1:11" s="768" customFormat="1" ht="50.1" customHeight="1">
      <c r="A44" s="758">
        <v>37</v>
      </c>
      <c r="B44" s="759" t="s">
        <v>325</v>
      </c>
      <c r="C44" s="760">
        <v>8661</v>
      </c>
      <c r="D44" s="760">
        <f>9361-2047</f>
        <v>7314</v>
      </c>
      <c r="E44" s="761">
        <v>0</v>
      </c>
      <c r="F44" s="762">
        <f t="shared" si="0"/>
        <v>15975</v>
      </c>
      <c r="G44" s="763">
        <v>10</v>
      </c>
      <c r="H44" s="764">
        <f t="shared" si="1"/>
        <v>1597</v>
      </c>
      <c r="I44" s="765">
        <f t="shared" si="2"/>
        <v>14378</v>
      </c>
      <c r="J44" s="766" t="s">
        <v>284</v>
      </c>
      <c r="K44" s="767">
        <v>15</v>
      </c>
    </row>
    <row r="45" spans="1:11" s="768" customFormat="1" ht="50.1" customHeight="1">
      <c r="A45" s="758">
        <v>38</v>
      </c>
      <c r="B45" s="759" t="s">
        <v>326</v>
      </c>
      <c r="C45" s="760">
        <v>1</v>
      </c>
      <c r="D45" s="760">
        <v>0</v>
      </c>
      <c r="E45" s="761">
        <v>0</v>
      </c>
      <c r="F45" s="762">
        <f t="shared" si="0"/>
        <v>1</v>
      </c>
      <c r="G45" s="763">
        <v>0</v>
      </c>
      <c r="H45" s="764">
        <f t="shared" si="1"/>
        <v>0</v>
      </c>
      <c r="I45" s="765">
        <f t="shared" si="2"/>
        <v>1</v>
      </c>
      <c r="J45" s="766" t="s">
        <v>286</v>
      </c>
      <c r="K45" s="767">
        <v>10</v>
      </c>
    </row>
    <row r="46" spans="1:11" s="768" customFormat="1" ht="50.1" customHeight="1">
      <c r="A46" s="758">
        <v>39</v>
      </c>
      <c r="B46" s="759" t="s">
        <v>327</v>
      </c>
      <c r="C46" s="760">
        <v>984.25749999999971</v>
      </c>
      <c r="D46" s="760">
        <v>0</v>
      </c>
      <c r="E46" s="761">
        <v>0</v>
      </c>
      <c r="F46" s="762">
        <f t="shared" si="0"/>
        <v>984.25749999999971</v>
      </c>
      <c r="G46" s="763">
        <v>50</v>
      </c>
      <c r="H46" s="764">
        <f t="shared" si="1"/>
        <v>492</v>
      </c>
      <c r="I46" s="765">
        <f t="shared" si="2"/>
        <v>492.25749999999971</v>
      </c>
      <c r="J46" s="766" t="s">
        <v>286</v>
      </c>
      <c r="K46" s="767">
        <v>10</v>
      </c>
    </row>
    <row r="47" spans="1:11" s="768" customFormat="1" ht="50.1" customHeight="1">
      <c r="A47" s="758">
        <v>40</v>
      </c>
      <c r="B47" s="759" t="s">
        <v>328</v>
      </c>
      <c r="C47" s="760">
        <v>349920</v>
      </c>
      <c r="D47" s="760">
        <v>0</v>
      </c>
      <c r="E47" s="761">
        <v>0</v>
      </c>
      <c r="F47" s="762">
        <f t="shared" si="0"/>
        <v>349920</v>
      </c>
      <c r="G47" s="763">
        <v>15</v>
      </c>
      <c r="H47" s="764">
        <f t="shared" si="1"/>
        <v>52488</v>
      </c>
      <c r="I47" s="765">
        <f t="shared" si="2"/>
        <v>297432</v>
      </c>
      <c r="J47" s="766" t="s">
        <v>284</v>
      </c>
      <c r="K47" s="767">
        <v>15</v>
      </c>
    </row>
    <row r="48" spans="1:11" s="768" customFormat="1" ht="50.1" customHeight="1">
      <c r="A48" s="758">
        <v>41</v>
      </c>
      <c r="B48" s="759" t="s">
        <v>329</v>
      </c>
      <c r="C48" s="760">
        <v>7736</v>
      </c>
      <c r="D48" s="760">
        <v>0</v>
      </c>
      <c r="E48" s="761">
        <v>0</v>
      </c>
      <c r="F48" s="762">
        <f t="shared" si="0"/>
        <v>7736</v>
      </c>
      <c r="G48" s="763">
        <v>15</v>
      </c>
      <c r="H48" s="764">
        <f t="shared" si="1"/>
        <v>1160</v>
      </c>
      <c r="I48" s="765">
        <f t="shared" si="2"/>
        <v>6576</v>
      </c>
      <c r="J48" s="766" t="s">
        <v>284</v>
      </c>
      <c r="K48" s="767">
        <v>15</v>
      </c>
    </row>
    <row r="49" spans="1:11" s="768" customFormat="1" ht="50.1" customHeight="1">
      <c r="A49" s="758">
        <v>42</v>
      </c>
      <c r="B49" s="759" t="s">
        <v>330</v>
      </c>
      <c r="C49" s="760">
        <v>179503</v>
      </c>
      <c r="D49" s="760">
        <f>117610-9738-11340</f>
        <v>96532</v>
      </c>
      <c r="E49" s="761">
        <v>0</v>
      </c>
      <c r="F49" s="762">
        <f t="shared" si="0"/>
        <v>276035</v>
      </c>
      <c r="G49" s="763">
        <v>15</v>
      </c>
      <c r="H49" s="764">
        <f t="shared" si="1"/>
        <v>41405</v>
      </c>
      <c r="I49" s="765">
        <f t="shared" si="2"/>
        <v>234630</v>
      </c>
      <c r="J49" s="766" t="s">
        <v>284</v>
      </c>
      <c r="K49" s="767">
        <v>15</v>
      </c>
    </row>
    <row r="50" spans="1:11" s="768" customFormat="1" ht="50.1" customHeight="1">
      <c r="A50" s="758">
        <v>43</v>
      </c>
      <c r="B50" s="759" t="s">
        <v>331</v>
      </c>
      <c r="C50" s="761">
        <v>0</v>
      </c>
      <c r="D50" s="760">
        <v>84000</v>
      </c>
      <c r="E50" s="761">
        <v>0</v>
      </c>
      <c r="F50" s="762">
        <f t="shared" si="0"/>
        <v>84000</v>
      </c>
      <c r="G50" s="763">
        <v>10</v>
      </c>
      <c r="H50" s="764">
        <f t="shared" si="1"/>
        <v>8400</v>
      </c>
      <c r="I50" s="765">
        <f t="shared" si="2"/>
        <v>75600</v>
      </c>
      <c r="J50" s="766" t="s">
        <v>284</v>
      </c>
      <c r="K50" s="767"/>
    </row>
    <row r="51" spans="1:11" s="768" customFormat="1" ht="50.1" customHeight="1">
      <c r="A51" s="758">
        <v>44</v>
      </c>
      <c r="B51" s="759" t="s">
        <v>332</v>
      </c>
      <c r="C51" s="760">
        <v>1</v>
      </c>
      <c r="D51" s="760">
        <v>0</v>
      </c>
      <c r="E51" s="761">
        <v>0</v>
      </c>
      <c r="F51" s="762">
        <f t="shared" si="0"/>
        <v>1</v>
      </c>
      <c r="G51" s="763">
        <v>0</v>
      </c>
      <c r="H51" s="764">
        <f t="shared" si="1"/>
        <v>0</v>
      </c>
      <c r="I51" s="765">
        <f t="shared" si="2"/>
        <v>1</v>
      </c>
      <c r="J51" s="766"/>
      <c r="K51" s="767"/>
    </row>
    <row r="52" spans="1:11" s="768" customFormat="1" ht="50.1" customHeight="1">
      <c r="A52" s="758">
        <v>45</v>
      </c>
      <c r="B52" s="759" t="s">
        <v>333</v>
      </c>
      <c r="C52" s="760">
        <v>2324</v>
      </c>
      <c r="D52" s="760">
        <v>0</v>
      </c>
      <c r="E52" s="761">
        <v>0</v>
      </c>
      <c r="F52" s="762">
        <f t="shared" si="0"/>
        <v>2324</v>
      </c>
      <c r="G52" s="763">
        <v>15</v>
      </c>
      <c r="H52" s="764">
        <f t="shared" si="1"/>
        <v>348</v>
      </c>
      <c r="I52" s="765">
        <f t="shared" si="2"/>
        <v>1976</v>
      </c>
      <c r="J52" s="766" t="s">
        <v>286</v>
      </c>
      <c r="K52" s="767">
        <v>10</v>
      </c>
    </row>
    <row r="53" spans="1:11" s="768" customFormat="1" ht="50.1" customHeight="1">
      <c r="A53" s="758">
        <v>46</v>
      </c>
      <c r="B53" s="759" t="s">
        <v>334</v>
      </c>
      <c r="C53" s="760">
        <v>448836</v>
      </c>
      <c r="D53" s="760">
        <v>339935</v>
      </c>
      <c r="E53" s="761">
        <v>0</v>
      </c>
      <c r="F53" s="762">
        <f t="shared" si="0"/>
        <v>788771</v>
      </c>
      <c r="G53" s="763">
        <v>15</v>
      </c>
      <c r="H53" s="764">
        <f t="shared" si="1"/>
        <v>118315</v>
      </c>
      <c r="I53" s="765">
        <f t="shared" si="2"/>
        <v>670456</v>
      </c>
      <c r="J53" s="766" t="s">
        <v>284</v>
      </c>
      <c r="K53" s="767">
        <v>15</v>
      </c>
    </row>
    <row r="54" spans="1:11" s="768" customFormat="1" ht="50.1" customHeight="1">
      <c r="A54" s="758">
        <v>47</v>
      </c>
      <c r="B54" s="759" t="s">
        <v>335</v>
      </c>
      <c r="C54" s="760">
        <v>88857</v>
      </c>
      <c r="D54" s="760">
        <v>22500</v>
      </c>
      <c r="E54" s="761">
        <v>0</v>
      </c>
      <c r="F54" s="762">
        <f t="shared" si="0"/>
        <v>111357</v>
      </c>
      <c r="G54" s="763">
        <v>10</v>
      </c>
      <c r="H54" s="764">
        <f t="shared" si="1"/>
        <v>11135</v>
      </c>
      <c r="I54" s="765">
        <f t="shared" si="2"/>
        <v>100222</v>
      </c>
      <c r="J54" s="766" t="s">
        <v>286</v>
      </c>
      <c r="K54" s="767">
        <v>10</v>
      </c>
    </row>
    <row r="55" spans="1:11" s="768" customFormat="1" ht="50.1" customHeight="1">
      <c r="A55" s="758">
        <v>48</v>
      </c>
      <c r="B55" s="759" t="s">
        <v>336</v>
      </c>
      <c r="C55" s="760">
        <v>178870</v>
      </c>
      <c r="D55" s="760">
        <v>0</v>
      </c>
      <c r="E55" s="761">
        <v>0</v>
      </c>
      <c r="F55" s="762">
        <f t="shared" si="0"/>
        <v>178870</v>
      </c>
      <c r="G55" s="763">
        <v>15</v>
      </c>
      <c r="H55" s="764">
        <f t="shared" si="1"/>
        <v>26830</v>
      </c>
      <c r="I55" s="765">
        <f t="shared" si="2"/>
        <v>152040</v>
      </c>
      <c r="J55" s="766" t="s">
        <v>284</v>
      </c>
      <c r="K55" s="767">
        <v>15</v>
      </c>
    </row>
    <row r="56" spans="1:11" s="768" customFormat="1" ht="50.1" customHeight="1">
      <c r="A56" s="758">
        <v>49</v>
      </c>
      <c r="B56" s="759" t="s">
        <v>337</v>
      </c>
      <c r="C56" s="760">
        <v>6908</v>
      </c>
      <c r="D56" s="760">
        <v>0</v>
      </c>
      <c r="E56" s="761">
        <v>0</v>
      </c>
      <c r="F56" s="762">
        <f t="shared" si="0"/>
        <v>6908</v>
      </c>
      <c r="G56" s="763">
        <v>15</v>
      </c>
      <c r="H56" s="764">
        <f t="shared" si="1"/>
        <v>1036</v>
      </c>
      <c r="I56" s="765">
        <f t="shared" si="2"/>
        <v>5872</v>
      </c>
      <c r="J56" s="766" t="s">
        <v>286</v>
      </c>
      <c r="K56" s="767">
        <v>10</v>
      </c>
    </row>
    <row r="57" spans="1:11" s="768" customFormat="1" ht="50.1" customHeight="1">
      <c r="A57" s="758">
        <v>50</v>
      </c>
      <c r="B57" s="759" t="s">
        <v>338</v>
      </c>
      <c r="C57" s="760">
        <v>30173</v>
      </c>
      <c r="D57" s="760">
        <v>0</v>
      </c>
      <c r="E57" s="761">
        <v>0</v>
      </c>
      <c r="F57" s="762">
        <f t="shared" si="0"/>
        <v>30173</v>
      </c>
      <c r="G57" s="763">
        <v>15</v>
      </c>
      <c r="H57" s="764">
        <f t="shared" si="1"/>
        <v>4525</v>
      </c>
      <c r="I57" s="765">
        <f t="shared" si="2"/>
        <v>25648</v>
      </c>
      <c r="J57" s="766"/>
      <c r="K57" s="767"/>
    </row>
    <row r="58" spans="1:11" s="768" customFormat="1" ht="50.1" customHeight="1">
      <c r="A58" s="758">
        <v>51</v>
      </c>
      <c r="B58" s="759" t="s">
        <v>339</v>
      </c>
      <c r="C58" s="760">
        <v>15885</v>
      </c>
      <c r="D58" s="760">
        <v>0</v>
      </c>
      <c r="E58" s="761">
        <v>0</v>
      </c>
      <c r="F58" s="762">
        <f t="shared" si="0"/>
        <v>15885</v>
      </c>
      <c r="G58" s="763">
        <v>15</v>
      </c>
      <c r="H58" s="764">
        <f t="shared" si="1"/>
        <v>2382</v>
      </c>
      <c r="I58" s="765">
        <f t="shared" si="2"/>
        <v>13503</v>
      </c>
      <c r="J58" s="766" t="s">
        <v>286</v>
      </c>
      <c r="K58" s="767">
        <v>10</v>
      </c>
    </row>
    <row r="59" spans="1:11" s="768" customFormat="1" ht="50.1" customHeight="1">
      <c r="A59" s="758">
        <v>52</v>
      </c>
      <c r="B59" s="759" t="s">
        <v>340</v>
      </c>
      <c r="C59" s="760">
        <v>8200</v>
      </c>
      <c r="D59" s="760">
        <v>0</v>
      </c>
      <c r="E59" s="761">
        <v>0</v>
      </c>
      <c r="F59" s="762">
        <f t="shared" si="0"/>
        <v>8200</v>
      </c>
      <c r="G59" s="763">
        <v>15</v>
      </c>
      <c r="H59" s="764">
        <f t="shared" si="1"/>
        <v>1230</v>
      </c>
      <c r="I59" s="765">
        <f t="shared" si="2"/>
        <v>6970</v>
      </c>
      <c r="J59" s="771">
        <v>0</v>
      </c>
      <c r="K59" s="767">
        <v>100</v>
      </c>
    </row>
    <row r="60" spans="1:11" s="768" customFormat="1" ht="50.1" customHeight="1">
      <c r="A60" s="758">
        <v>53</v>
      </c>
      <c r="B60" s="759" t="s">
        <v>341</v>
      </c>
      <c r="C60" s="760">
        <v>28425</v>
      </c>
      <c r="D60" s="760">
        <v>0</v>
      </c>
      <c r="E60" s="761">
        <v>0</v>
      </c>
      <c r="F60" s="762">
        <f t="shared" si="0"/>
        <v>28425</v>
      </c>
      <c r="G60" s="763">
        <v>15</v>
      </c>
      <c r="H60" s="764">
        <f t="shared" si="1"/>
        <v>4263</v>
      </c>
      <c r="I60" s="765">
        <f t="shared" si="2"/>
        <v>24162</v>
      </c>
      <c r="J60" s="771"/>
      <c r="K60" s="767"/>
    </row>
    <row r="61" spans="1:11" s="768" customFormat="1" ht="50.1" customHeight="1">
      <c r="A61" s="758">
        <v>54</v>
      </c>
      <c r="B61" s="759" t="s">
        <v>342</v>
      </c>
      <c r="C61" s="760">
        <v>393727</v>
      </c>
      <c r="D61" s="760">
        <f>10864-582</f>
        <v>10282</v>
      </c>
      <c r="E61" s="761">
        <v>0</v>
      </c>
      <c r="F61" s="762">
        <f t="shared" si="0"/>
        <v>404009</v>
      </c>
      <c r="G61" s="763">
        <v>15</v>
      </c>
      <c r="H61" s="764">
        <f t="shared" si="1"/>
        <v>60601</v>
      </c>
      <c r="I61" s="765">
        <f t="shared" si="2"/>
        <v>343408</v>
      </c>
      <c r="J61" s="771"/>
      <c r="K61" s="767"/>
    </row>
    <row r="62" spans="1:11" s="768" customFormat="1" ht="50.1" customHeight="1">
      <c r="A62" s="758">
        <v>55</v>
      </c>
      <c r="B62" s="759" t="s">
        <v>343</v>
      </c>
      <c r="C62" s="760">
        <v>38828</v>
      </c>
      <c r="D62" s="760">
        <v>0</v>
      </c>
      <c r="E62" s="761">
        <v>0</v>
      </c>
      <c r="F62" s="762">
        <f t="shared" si="0"/>
        <v>38828</v>
      </c>
      <c r="G62" s="763">
        <v>15</v>
      </c>
      <c r="H62" s="764">
        <f t="shared" si="1"/>
        <v>5824</v>
      </c>
      <c r="I62" s="765">
        <f t="shared" si="2"/>
        <v>33004</v>
      </c>
      <c r="J62" s="771" t="s">
        <v>286</v>
      </c>
      <c r="K62" s="767">
        <v>10</v>
      </c>
    </row>
    <row r="63" spans="1:11" s="768" customFormat="1" ht="50.1" customHeight="1">
      <c r="A63" s="758">
        <v>56</v>
      </c>
      <c r="B63" s="759" t="s">
        <v>344</v>
      </c>
      <c r="C63" s="760">
        <v>26910</v>
      </c>
      <c r="D63" s="760">
        <f>12376-1326</f>
        <v>11050</v>
      </c>
      <c r="E63" s="761">
        <v>0</v>
      </c>
      <c r="F63" s="762">
        <f t="shared" si="0"/>
        <v>37960</v>
      </c>
      <c r="G63" s="763">
        <v>15</v>
      </c>
      <c r="H63" s="764">
        <f t="shared" si="1"/>
        <v>5694</v>
      </c>
      <c r="I63" s="765">
        <f t="shared" si="2"/>
        <v>32266</v>
      </c>
      <c r="J63" s="771" t="s">
        <v>284</v>
      </c>
      <c r="K63" s="767">
        <v>15</v>
      </c>
    </row>
    <row r="64" spans="1:11" s="768" customFormat="1" ht="50.1" customHeight="1">
      <c r="A64" s="758">
        <v>57</v>
      </c>
      <c r="B64" s="759" t="s">
        <v>345</v>
      </c>
      <c r="C64" s="760">
        <v>116640</v>
      </c>
      <c r="D64" s="760">
        <v>0</v>
      </c>
      <c r="E64" s="761">
        <v>0</v>
      </c>
      <c r="F64" s="762">
        <f t="shared" si="0"/>
        <v>116640</v>
      </c>
      <c r="G64" s="763">
        <v>15</v>
      </c>
      <c r="H64" s="764">
        <f t="shared" si="1"/>
        <v>17496</v>
      </c>
      <c r="I64" s="765">
        <f t="shared" si="2"/>
        <v>99144</v>
      </c>
      <c r="J64" s="771" t="s">
        <v>284</v>
      </c>
      <c r="K64" s="767">
        <v>15</v>
      </c>
    </row>
    <row r="65" spans="1:11" s="768" customFormat="1" ht="50.1" customHeight="1">
      <c r="A65" s="758">
        <v>58</v>
      </c>
      <c r="B65" s="759" t="s">
        <v>346</v>
      </c>
      <c r="C65" s="760">
        <v>1</v>
      </c>
      <c r="D65" s="760">
        <v>0</v>
      </c>
      <c r="E65" s="761">
        <v>0</v>
      </c>
      <c r="F65" s="762">
        <f t="shared" si="0"/>
        <v>1</v>
      </c>
      <c r="G65" s="763">
        <v>0</v>
      </c>
      <c r="H65" s="764">
        <f t="shared" si="1"/>
        <v>0</v>
      </c>
      <c r="I65" s="765">
        <f t="shared" si="2"/>
        <v>1</v>
      </c>
      <c r="J65" s="771" t="s">
        <v>284</v>
      </c>
      <c r="K65" s="767">
        <v>15</v>
      </c>
    </row>
    <row r="66" spans="1:11" s="768" customFormat="1" ht="50.1" customHeight="1">
      <c r="A66" s="758">
        <v>59</v>
      </c>
      <c r="B66" s="759" t="s">
        <v>347</v>
      </c>
      <c r="C66" s="761">
        <v>0</v>
      </c>
      <c r="D66" s="760">
        <v>93900</v>
      </c>
      <c r="E66" s="761">
        <v>0</v>
      </c>
      <c r="F66" s="762">
        <f t="shared" si="0"/>
        <v>93900</v>
      </c>
      <c r="G66" s="763">
        <v>10</v>
      </c>
      <c r="H66" s="764">
        <f t="shared" si="1"/>
        <v>9390</v>
      </c>
      <c r="I66" s="765">
        <f t="shared" si="2"/>
        <v>84510</v>
      </c>
      <c r="J66" s="771"/>
      <c r="K66" s="767"/>
    </row>
    <row r="67" spans="1:11" s="768" customFormat="1" ht="50.1" customHeight="1">
      <c r="A67" s="758">
        <v>60</v>
      </c>
      <c r="B67" s="759" t="s">
        <v>348</v>
      </c>
      <c r="C67" s="761">
        <v>0</v>
      </c>
      <c r="D67" s="760">
        <v>14868</v>
      </c>
      <c r="E67" s="761">
        <v>0</v>
      </c>
      <c r="F67" s="762">
        <f t="shared" si="0"/>
        <v>14868</v>
      </c>
      <c r="G67" s="763">
        <v>60</v>
      </c>
      <c r="H67" s="764">
        <f t="shared" si="1"/>
        <v>8920</v>
      </c>
      <c r="I67" s="765">
        <f t="shared" si="2"/>
        <v>5948</v>
      </c>
      <c r="J67" s="771" t="s">
        <v>286</v>
      </c>
      <c r="K67" s="767">
        <v>10</v>
      </c>
    </row>
    <row r="68" spans="1:11" s="768" customFormat="1" ht="50.1" customHeight="1">
      <c r="A68" s="758">
        <v>61</v>
      </c>
      <c r="B68" s="759" t="s">
        <v>349</v>
      </c>
      <c r="C68" s="760">
        <v>1</v>
      </c>
      <c r="D68" s="760">
        <f>115139-2856-4104-8528-1924-1702</f>
        <v>96025</v>
      </c>
      <c r="E68" s="761">
        <v>0</v>
      </c>
      <c r="F68" s="762">
        <f t="shared" si="0"/>
        <v>96026</v>
      </c>
      <c r="G68" s="763">
        <v>15</v>
      </c>
      <c r="H68" s="764">
        <f t="shared" si="1"/>
        <v>14403</v>
      </c>
      <c r="I68" s="772">
        <f t="shared" si="2"/>
        <v>81623</v>
      </c>
      <c r="J68" s="771" t="s">
        <v>286</v>
      </c>
      <c r="K68" s="767">
        <v>10</v>
      </c>
    </row>
    <row r="69" spans="1:11" s="768" customFormat="1" ht="50.1" customHeight="1">
      <c r="A69" s="758">
        <v>62</v>
      </c>
      <c r="B69" s="759" t="s">
        <v>350</v>
      </c>
      <c r="C69" s="760">
        <v>10228</v>
      </c>
      <c r="D69" s="760">
        <v>0</v>
      </c>
      <c r="E69" s="761">
        <v>0</v>
      </c>
      <c r="F69" s="762">
        <f t="shared" si="0"/>
        <v>10228</v>
      </c>
      <c r="G69" s="763">
        <v>10</v>
      </c>
      <c r="H69" s="764">
        <f t="shared" si="1"/>
        <v>1022</v>
      </c>
      <c r="I69" s="765">
        <f t="shared" si="2"/>
        <v>9206</v>
      </c>
      <c r="J69" s="771"/>
      <c r="K69" s="767"/>
    </row>
    <row r="70" spans="1:11" s="768" customFormat="1" ht="50.1" customHeight="1">
      <c r="A70" s="758">
        <v>63</v>
      </c>
      <c r="B70" s="759" t="s">
        <v>351</v>
      </c>
      <c r="C70" s="761">
        <v>0</v>
      </c>
      <c r="D70" s="760">
        <f>18500-3330</f>
        <v>15170</v>
      </c>
      <c r="E70" s="761">
        <v>0</v>
      </c>
      <c r="F70" s="762">
        <f t="shared" si="0"/>
        <v>15170</v>
      </c>
      <c r="G70" s="763">
        <v>15</v>
      </c>
      <c r="H70" s="764">
        <f t="shared" si="1"/>
        <v>2275</v>
      </c>
      <c r="I70" s="765">
        <f t="shared" si="2"/>
        <v>12895</v>
      </c>
      <c r="J70" s="771"/>
      <c r="K70" s="767"/>
    </row>
    <row r="71" spans="1:11" s="768" customFormat="1" ht="50.1" customHeight="1">
      <c r="A71" s="758">
        <v>64</v>
      </c>
      <c r="B71" s="759" t="s">
        <v>352</v>
      </c>
      <c r="C71" s="761">
        <v>0</v>
      </c>
      <c r="D71" s="760">
        <f>7000-1531</f>
        <v>5469</v>
      </c>
      <c r="E71" s="761">
        <v>0</v>
      </c>
      <c r="F71" s="762">
        <f t="shared" si="0"/>
        <v>5469</v>
      </c>
      <c r="G71" s="763">
        <v>15</v>
      </c>
      <c r="H71" s="764">
        <f t="shared" si="1"/>
        <v>820</v>
      </c>
      <c r="I71" s="765">
        <f t="shared" si="2"/>
        <v>4649</v>
      </c>
      <c r="J71" s="771" t="s">
        <v>286</v>
      </c>
      <c r="K71" s="767">
        <v>10</v>
      </c>
    </row>
    <row r="72" spans="1:11" s="768" customFormat="1" ht="50.1" customHeight="1">
      <c r="A72" s="758">
        <v>65</v>
      </c>
      <c r="B72" s="759" t="s">
        <v>353</v>
      </c>
      <c r="C72" s="760">
        <v>3430</v>
      </c>
      <c r="D72" s="760">
        <v>0</v>
      </c>
      <c r="E72" s="761">
        <v>0</v>
      </c>
      <c r="F72" s="762">
        <f t="shared" ref="F72:F112" si="3">+C72+D72-E72</f>
        <v>3430</v>
      </c>
      <c r="G72" s="763">
        <v>15</v>
      </c>
      <c r="H72" s="764">
        <f t="shared" ref="H72:H112" si="4">ROUNDDOWN(F72*G72/100,0)</f>
        <v>514</v>
      </c>
      <c r="I72" s="765">
        <f t="shared" ref="I72:I112" si="5">+F72-H72</f>
        <v>2916</v>
      </c>
      <c r="J72" s="771"/>
      <c r="K72" s="767"/>
    </row>
    <row r="73" spans="1:11" s="768" customFormat="1" ht="50.1" customHeight="1">
      <c r="A73" s="758">
        <v>66</v>
      </c>
      <c r="B73" s="759" t="s">
        <v>354</v>
      </c>
      <c r="C73" s="760">
        <v>11940</v>
      </c>
      <c r="D73" s="760">
        <v>0</v>
      </c>
      <c r="E73" s="761">
        <v>0</v>
      </c>
      <c r="F73" s="762">
        <f t="shared" si="3"/>
        <v>11940</v>
      </c>
      <c r="G73" s="763">
        <v>15</v>
      </c>
      <c r="H73" s="764">
        <f t="shared" si="4"/>
        <v>1791</v>
      </c>
      <c r="I73" s="765">
        <f t="shared" si="5"/>
        <v>10149</v>
      </c>
      <c r="J73" s="771"/>
      <c r="K73" s="767"/>
    </row>
    <row r="74" spans="1:11" s="768" customFormat="1" ht="50.1" customHeight="1">
      <c r="A74" s="758">
        <v>67</v>
      </c>
      <c r="B74" s="759" t="s">
        <v>355</v>
      </c>
      <c r="C74" s="760">
        <v>38511</v>
      </c>
      <c r="D74" s="760">
        <v>0</v>
      </c>
      <c r="E74" s="761">
        <v>0</v>
      </c>
      <c r="F74" s="762">
        <f t="shared" si="3"/>
        <v>38511</v>
      </c>
      <c r="G74" s="763">
        <v>15</v>
      </c>
      <c r="H74" s="764">
        <f t="shared" si="4"/>
        <v>5776</v>
      </c>
      <c r="I74" s="765">
        <f t="shared" si="5"/>
        <v>32735</v>
      </c>
      <c r="J74" s="771"/>
      <c r="K74" s="767"/>
    </row>
    <row r="75" spans="1:11" s="768" customFormat="1" ht="50.1" customHeight="1">
      <c r="A75" s="758">
        <v>68</v>
      </c>
      <c r="B75" s="759" t="s">
        <v>356</v>
      </c>
      <c r="C75" s="760">
        <v>11352</v>
      </c>
      <c r="D75" s="760">
        <v>0</v>
      </c>
      <c r="E75" s="761">
        <v>0</v>
      </c>
      <c r="F75" s="762">
        <f t="shared" si="3"/>
        <v>11352</v>
      </c>
      <c r="G75" s="763">
        <v>15</v>
      </c>
      <c r="H75" s="764">
        <f t="shared" si="4"/>
        <v>1702</v>
      </c>
      <c r="I75" s="765">
        <f t="shared" si="5"/>
        <v>9650</v>
      </c>
      <c r="J75" s="771" t="s">
        <v>286</v>
      </c>
      <c r="K75" s="767">
        <v>10</v>
      </c>
    </row>
    <row r="76" spans="1:11" s="768" customFormat="1" ht="50.1" customHeight="1">
      <c r="A76" s="758">
        <v>69</v>
      </c>
      <c r="B76" s="759" t="s">
        <v>357</v>
      </c>
      <c r="C76" s="760">
        <v>4250</v>
      </c>
      <c r="D76" s="760">
        <v>0</v>
      </c>
      <c r="E76" s="761">
        <v>0</v>
      </c>
      <c r="F76" s="762">
        <f t="shared" si="3"/>
        <v>4250</v>
      </c>
      <c r="G76" s="763">
        <v>15</v>
      </c>
      <c r="H76" s="764">
        <f t="shared" si="4"/>
        <v>637</v>
      </c>
      <c r="I76" s="765">
        <f t="shared" si="5"/>
        <v>3613</v>
      </c>
      <c r="J76" s="771" t="s">
        <v>284</v>
      </c>
      <c r="K76" s="767">
        <v>15</v>
      </c>
    </row>
    <row r="77" spans="1:11" s="768" customFormat="1" ht="50.1" customHeight="1">
      <c r="A77" s="758">
        <v>70</v>
      </c>
      <c r="B77" s="759" t="s">
        <v>358</v>
      </c>
      <c r="C77" s="760">
        <v>34710</v>
      </c>
      <c r="D77" s="760">
        <f>40000+43000-9406</f>
        <v>73594</v>
      </c>
      <c r="E77" s="761">
        <v>0</v>
      </c>
      <c r="F77" s="762">
        <f t="shared" si="3"/>
        <v>108304</v>
      </c>
      <c r="G77" s="763">
        <v>10</v>
      </c>
      <c r="H77" s="764">
        <f t="shared" si="4"/>
        <v>10830</v>
      </c>
      <c r="I77" s="765">
        <f t="shared" si="5"/>
        <v>97474</v>
      </c>
      <c r="J77" s="771" t="s">
        <v>284</v>
      </c>
      <c r="K77" s="767">
        <v>15</v>
      </c>
    </row>
    <row r="78" spans="1:11" s="768" customFormat="1" ht="50.1" customHeight="1">
      <c r="A78" s="758">
        <v>71</v>
      </c>
      <c r="B78" s="759" t="s">
        <v>359</v>
      </c>
      <c r="C78" s="760">
        <v>5832</v>
      </c>
      <c r="D78" s="760">
        <v>0</v>
      </c>
      <c r="E78" s="761">
        <v>0</v>
      </c>
      <c r="F78" s="762">
        <f t="shared" si="3"/>
        <v>5832</v>
      </c>
      <c r="G78" s="763">
        <v>10</v>
      </c>
      <c r="H78" s="764">
        <f t="shared" si="4"/>
        <v>583</v>
      </c>
      <c r="I78" s="765">
        <f t="shared" si="5"/>
        <v>5249</v>
      </c>
      <c r="J78" s="771" t="s">
        <v>284</v>
      </c>
      <c r="K78" s="767">
        <v>15</v>
      </c>
    </row>
    <row r="79" spans="1:11" s="768" customFormat="1" ht="50.1" customHeight="1">
      <c r="A79" s="758">
        <v>72</v>
      </c>
      <c r="B79" s="759" t="s">
        <v>360</v>
      </c>
      <c r="C79" s="760">
        <v>111936</v>
      </c>
      <c r="D79" s="760">
        <v>0</v>
      </c>
      <c r="E79" s="761">
        <v>0</v>
      </c>
      <c r="F79" s="762">
        <f t="shared" si="3"/>
        <v>111936</v>
      </c>
      <c r="G79" s="763">
        <v>10</v>
      </c>
      <c r="H79" s="764">
        <f t="shared" si="4"/>
        <v>11193</v>
      </c>
      <c r="I79" s="765">
        <f t="shared" si="5"/>
        <v>100743</v>
      </c>
      <c r="J79" s="771" t="s">
        <v>286</v>
      </c>
      <c r="K79" s="767">
        <v>10</v>
      </c>
    </row>
    <row r="80" spans="1:11" s="768" customFormat="1" ht="50.1" customHeight="1">
      <c r="A80" s="758">
        <v>73</v>
      </c>
      <c r="B80" s="759" t="s">
        <v>361</v>
      </c>
      <c r="C80" s="761">
        <v>0</v>
      </c>
      <c r="D80" s="760">
        <f>16490-3607</f>
        <v>12883</v>
      </c>
      <c r="E80" s="761">
        <v>0</v>
      </c>
      <c r="F80" s="762">
        <f t="shared" si="3"/>
        <v>12883</v>
      </c>
      <c r="G80" s="763">
        <v>10</v>
      </c>
      <c r="H80" s="764">
        <f t="shared" si="4"/>
        <v>1288</v>
      </c>
      <c r="I80" s="765">
        <f t="shared" si="5"/>
        <v>11595</v>
      </c>
      <c r="J80" s="771" t="s">
        <v>286</v>
      </c>
      <c r="K80" s="767">
        <v>10</v>
      </c>
    </row>
    <row r="81" spans="1:11" s="768" customFormat="1" ht="50.1" customHeight="1">
      <c r="A81" s="758">
        <v>74</v>
      </c>
      <c r="B81" s="759" t="s">
        <v>362</v>
      </c>
      <c r="C81" s="760">
        <v>44179</v>
      </c>
      <c r="D81" s="760">
        <v>0</v>
      </c>
      <c r="E81" s="761">
        <v>0</v>
      </c>
      <c r="F81" s="762">
        <f t="shared" si="3"/>
        <v>44179</v>
      </c>
      <c r="G81" s="763">
        <v>15</v>
      </c>
      <c r="H81" s="764">
        <f t="shared" si="4"/>
        <v>6626</v>
      </c>
      <c r="I81" s="765">
        <f t="shared" si="5"/>
        <v>37553</v>
      </c>
      <c r="J81" s="771" t="s">
        <v>363</v>
      </c>
      <c r="K81" s="767">
        <v>20</v>
      </c>
    </row>
    <row r="82" spans="1:11" s="768" customFormat="1" ht="50.1" customHeight="1">
      <c r="A82" s="758">
        <v>75</v>
      </c>
      <c r="B82" s="759" t="s">
        <v>364</v>
      </c>
      <c r="C82" s="760">
        <v>4413</v>
      </c>
      <c r="D82" s="760">
        <v>0</v>
      </c>
      <c r="E82" s="761">
        <v>0</v>
      </c>
      <c r="F82" s="762">
        <f t="shared" si="3"/>
        <v>4413</v>
      </c>
      <c r="G82" s="763">
        <v>15</v>
      </c>
      <c r="H82" s="764">
        <f t="shared" si="4"/>
        <v>661</v>
      </c>
      <c r="I82" s="765">
        <f t="shared" si="5"/>
        <v>3752</v>
      </c>
      <c r="J82" s="771" t="s">
        <v>286</v>
      </c>
      <c r="K82" s="767">
        <v>10</v>
      </c>
    </row>
    <row r="83" spans="1:11" s="768" customFormat="1" ht="50.1" customHeight="1">
      <c r="A83" s="758">
        <v>76</v>
      </c>
      <c r="B83" s="759" t="s">
        <v>365</v>
      </c>
      <c r="C83" s="760">
        <v>20080</v>
      </c>
      <c r="D83" s="760">
        <v>0</v>
      </c>
      <c r="E83" s="761">
        <v>0</v>
      </c>
      <c r="F83" s="762">
        <f t="shared" si="3"/>
        <v>20080</v>
      </c>
      <c r="G83" s="763">
        <v>10</v>
      </c>
      <c r="H83" s="764">
        <f t="shared" si="4"/>
        <v>2008</v>
      </c>
      <c r="I83" s="765">
        <f t="shared" si="5"/>
        <v>18072</v>
      </c>
      <c r="J83" s="771" t="s">
        <v>284</v>
      </c>
      <c r="K83" s="767">
        <v>15</v>
      </c>
    </row>
    <row r="84" spans="1:11" s="768" customFormat="1" ht="50.1" customHeight="1">
      <c r="A84" s="758">
        <v>77</v>
      </c>
      <c r="B84" s="759" t="s">
        <v>366</v>
      </c>
      <c r="C84" s="760">
        <v>4922</v>
      </c>
      <c r="D84" s="760">
        <v>0</v>
      </c>
      <c r="E84" s="761">
        <v>0</v>
      </c>
      <c r="F84" s="762">
        <f t="shared" si="3"/>
        <v>4922</v>
      </c>
      <c r="G84" s="763">
        <v>10</v>
      </c>
      <c r="H84" s="764">
        <f t="shared" si="4"/>
        <v>492</v>
      </c>
      <c r="I84" s="765">
        <f t="shared" si="5"/>
        <v>4430</v>
      </c>
      <c r="J84" s="771" t="s">
        <v>286</v>
      </c>
      <c r="K84" s="767">
        <v>10</v>
      </c>
    </row>
    <row r="85" spans="1:11" s="768" customFormat="1" ht="50.1" customHeight="1">
      <c r="A85" s="758">
        <v>78</v>
      </c>
      <c r="B85" s="759" t="s">
        <v>367</v>
      </c>
      <c r="C85" s="760">
        <v>17970</v>
      </c>
      <c r="D85" s="760">
        <v>0</v>
      </c>
      <c r="E85" s="761">
        <v>0</v>
      </c>
      <c r="F85" s="762">
        <f t="shared" si="3"/>
        <v>17970</v>
      </c>
      <c r="G85" s="763">
        <v>15</v>
      </c>
      <c r="H85" s="764">
        <f t="shared" si="4"/>
        <v>2695</v>
      </c>
      <c r="I85" s="765">
        <f t="shared" si="5"/>
        <v>15275</v>
      </c>
      <c r="J85" s="771"/>
      <c r="K85" s="767"/>
    </row>
    <row r="86" spans="1:11" s="768" customFormat="1" ht="50.1" customHeight="1">
      <c r="A86" s="758">
        <v>79</v>
      </c>
      <c r="B86" s="759" t="s">
        <v>368</v>
      </c>
      <c r="C86" s="761">
        <v>0</v>
      </c>
      <c r="D86" s="760">
        <f>58320-12757</f>
        <v>45563</v>
      </c>
      <c r="E86" s="761">
        <v>0</v>
      </c>
      <c r="F86" s="762">
        <f t="shared" si="3"/>
        <v>45563</v>
      </c>
      <c r="G86" s="763">
        <v>15</v>
      </c>
      <c r="H86" s="764">
        <f t="shared" si="4"/>
        <v>6834</v>
      </c>
      <c r="I86" s="765">
        <f t="shared" si="5"/>
        <v>38729</v>
      </c>
      <c r="J86" s="771"/>
      <c r="K86" s="767"/>
    </row>
    <row r="87" spans="1:11" s="768" customFormat="1" ht="50.1" customHeight="1">
      <c r="A87" s="758">
        <v>80</v>
      </c>
      <c r="B87" s="759" t="s">
        <v>369</v>
      </c>
      <c r="C87" s="760">
        <v>53688</v>
      </c>
      <c r="D87" s="760">
        <v>0</v>
      </c>
      <c r="E87" s="761">
        <v>0</v>
      </c>
      <c r="F87" s="762">
        <f t="shared" si="3"/>
        <v>53688</v>
      </c>
      <c r="G87" s="763">
        <v>15</v>
      </c>
      <c r="H87" s="764">
        <f t="shared" si="4"/>
        <v>8053</v>
      </c>
      <c r="I87" s="765">
        <f t="shared" si="5"/>
        <v>45635</v>
      </c>
      <c r="J87" s="771"/>
      <c r="K87" s="767"/>
    </row>
    <row r="88" spans="1:11" s="768" customFormat="1" ht="50.1" customHeight="1">
      <c r="A88" s="758">
        <v>81</v>
      </c>
      <c r="B88" s="759" t="s">
        <v>370</v>
      </c>
      <c r="C88" s="761">
        <v>0</v>
      </c>
      <c r="D88" s="760">
        <f>60699-9259</f>
        <v>51440</v>
      </c>
      <c r="E88" s="761">
        <v>0</v>
      </c>
      <c r="F88" s="762">
        <f t="shared" si="3"/>
        <v>51440</v>
      </c>
      <c r="G88" s="763">
        <v>10</v>
      </c>
      <c r="H88" s="764">
        <f t="shared" si="4"/>
        <v>5144</v>
      </c>
      <c r="I88" s="765">
        <f t="shared" si="5"/>
        <v>46296</v>
      </c>
      <c r="J88" s="771"/>
      <c r="K88" s="767"/>
    </row>
    <row r="89" spans="1:11" s="768" customFormat="1" ht="50.1" customHeight="1">
      <c r="A89" s="758">
        <v>82</v>
      </c>
      <c r="B89" s="759" t="s">
        <v>371</v>
      </c>
      <c r="C89" s="761">
        <v>0</v>
      </c>
      <c r="D89" s="760">
        <f>12773-422</f>
        <v>12351</v>
      </c>
      <c r="E89" s="761">
        <v>0</v>
      </c>
      <c r="F89" s="762">
        <f t="shared" si="3"/>
        <v>12351</v>
      </c>
      <c r="G89" s="763">
        <v>10</v>
      </c>
      <c r="H89" s="764">
        <f t="shared" si="4"/>
        <v>1235</v>
      </c>
      <c r="I89" s="765">
        <f t="shared" si="5"/>
        <v>11116</v>
      </c>
      <c r="J89" s="771"/>
      <c r="K89" s="767"/>
    </row>
    <row r="90" spans="1:11" s="768" customFormat="1" ht="50.1" customHeight="1">
      <c r="A90" s="758">
        <v>83</v>
      </c>
      <c r="B90" s="759" t="s">
        <v>372</v>
      </c>
      <c r="C90" s="761">
        <v>0</v>
      </c>
      <c r="D90" s="760">
        <f>835555-60699+95000-2222-41186</f>
        <v>826448</v>
      </c>
      <c r="E90" s="761">
        <v>0</v>
      </c>
      <c r="F90" s="762">
        <f t="shared" si="3"/>
        <v>826448</v>
      </c>
      <c r="G90" s="763">
        <v>10</v>
      </c>
      <c r="H90" s="764">
        <f t="shared" si="4"/>
        <v>82644</v>
      </c>
      <c r="I90" s="765">
        <f t="shared" si="5"/>
        <v>743804</v>
      </c>
      <c r="J90" s="771"/>
      <c r="K90" s="767"/>
    </row>
    <row r="91" spans="1:11" s="768" customFormat="1" ht="50.1" customHeight="1">
      <c r="A91" s="758">
        <v>84</v>
      </c>
      <c r="B91" s="759" t="s">
        <v>373</v>
      </c>
      <c r="C91" s="760">
        <v>110409</v>
      </c>
      <c r="D91" s="760">
        <v>0</v>
      </c>
      <c r="E91" s="761">
        <v>0</v>
      </c>
      <c r="F91" s="762">
        <f t="shared" si="3"/>
        <v>110409</v>
      </c>
      <c r="G91" s="763">
        <v>10</v>
      </c>
      <c r="H91" s="764">
        <f t="shared" si="4"/>
        <v>11040</v>
      </c>
      <c r="I91" s="765">
        <f t="shared" si="5"/>
        <v>99369</v>
      </c>
      <c r="J91" s="771" t="s">
        <v>286</v>
      </c>
      <c r="K91" s="767">
        <v>10</v>
      </c>
    </row>
    <row r="92" spans="1:11" s="768" customFormat="1" ht="50.1" customHeight="1">
      <c r="A92" s="758">
        <v>85</v>
      </c>
      <c r="B92" s="759" t="s">
        <v>374</v>
      </c>
      <c r="C92" s="760">
        <v>106551</v>
      </c>
      <c r="D92" s="760">
        <v>0</v>
      </c>
      <c r="E92" s="761">
        <v>0</v>
      </c>
      <c r="F92" s="762">
        <f t="shared" si="3"/>
        <v>106551</v>
      </c>
      <c r="G92" s="763">
        <v>15</v>
      </c>
      <c r="H92" s="764">
        <f t="shared" si="4"/>
        <v>15982</v>
      </c>
      <c r="I92" s="765">
        <f t="shared" si="5"/>
        <v>90569</v>
      </c>
      <c r="J92" s="771" t="s">
        <v>286</v>
      </c>
      <c r="K92" s="767">
        <v>10</v>
      </c>
    </row>
    <row r="93" spans="1:11" s="768" customFormat="1" ht="50.1" customHeight="1">
      <c r="A93" s="758">
        <v>86</v>
      </c>
      <c r="B93" s="759" t="s">
        <v>375</v>
      </c>
      <c r="C93" s="761">
        <v>0</v>
      </c>
      <c r="D93" s="760">
        <v>18751.36</v>
      </c>
      <c r="E93" s="761">
        <v>0</v>
      </c>
      <c r="F93" s="762">
        <f t="shared" si="3"/>
        <v>18751.36</v>
      </c>
      <c r="G93" s="763">
        <v>15</v>
      </c>
      <c r="H93" s="764">
        <f t="shared" si="4"/>
        <v>2812</v>
      </c>
      <c r="I93" s="765">
        <f t="shared" si="5"/>
        <v>15939.36</v>
      </c>
      <c r="J93" s="771" t="s">
        <v>376</v>
      </c>
      <c r="K93" s="767">
        <v>60</v>
      </c>
    </row>
    <row r="94" spans="1:11" s="768" customFormat="1" ht="50.1" customHeight="1">
      <c r="A94" s="758">
        <v>87</v>
      </c>
      <c r="B94" s="759" t="s">
        <v>377</v>
      </c>
      <c r="C94" s="761">
        <v>0</v>
      </c>
      <c r="D94" s="760">
        <v>44075</v>
      </c>
      <c r="E94" s="761">
        <v>0</v>
      </c>
      <c r="F94" s="762">
        <f t="shared" si="3"/>
        <v>44075</v>
      </c>
      <c r="G94" s="763">
        <v>15</v>
      </c>
      <c r="H94" s="764">
        <f t="shared" si="4"/>
        <v>6611</v>
      </c>
      <c r="I94" s="765">
        <f t="shared" si="5"/>
        <v>37464</v>
      </c>
      <c r="J94" s="771"/>
      <c r="K94" s="767">
        <v>25</v>
      </c>
    </row>
    <row r="95" spans="1:11" s="768" customFormat="1" ht="50.1" customHeight="1">
      <c r="A95" s="758">
        <v>88</v>
      </c>
      <c r="B95" s="759" t="s">
        <v>378</v>
      </c>
      <c r="C95" s="761">
        <v>0</v>
      </c>
      <c r="D95" s="760">
        <v>25000</v>
      </c>
      <c r="E95" s="761">
        <v>0</v>
      </c>
      <c r="F95" s="762">
        <f t="shared" si="3"/>
        <v>25000</v>
      </c>
      <c r="G95" s="763">
        <v>15</v>
      </c>
      <c r="H95" s="764">
        <f t="shared" si="4"/>
        <v>3750</v>
      </c>
      <c r="I95" s="765">
        <f t="shared" si="5"/>
        <v>21250</v>
      </c>
      <c r="J95" s="771"/>
      <c r="K95" s="767">
        <v>50</v>
      </c>
    </row>
    <row r="96" spans="1:11" s="768" customFormat="1" ht="55.5">
      <c r="A96" s="758">
        <v>89</v>
      </c>
      <c r="B96" s="769" t="s">
        <v>379</v>
      </c>
      <c r="C96" s="760">
        <v>404331</v>
      </c>
      <c r="D96" s="760">
        <v>382569</v>
      </c>
      <c r="E96" s="761">
        <v>0</v>
      </c>
      <c r="F96" s="762">
        <f t="shared" si="3"/>
        <v>786900</v>
      </c>
      <c r="G96" s="763">
        <v>30</v>
      </c>
      <c r="H96" s="764">
        <f t="shared" si="4"/>
        <v>236070</v>
      </c>
      <c r="I96" s="765">
        <f t="shared" si="5"/>
        <v>550830</v>
      </c>
      <c r="J96" s="771"/>
      <c r="K96" s="767"/>
    </row>
    <row r="97" spans="1:14" s="768" customFormat="1" ht="50.1" customHeight="1">
      <c r="A97" s="758">
        <v>90</v>
      </c>
      <c r="B97" s="759" t="s">
        <v>380</v>
      </c>
      <c r="C97" s="760">
        <v>4754</v>
      </c>
      <c r="D97" s="760">
        <v>0</v>
      </c>
      <c r="E97" s="761">
        <v>0</v>
      </c>
      <c r="F97" s="762">
        <f t="shared" si="3"/>
        <v>4754</v>
      </c>
      <c r="G97" s="763">
        <v>30</v>
      </c>
      <c r="H97" s="764">
        <f>ROUNDDOWN(F97*G97/100,0)</f>
        <v>1426</v>
      </c>
      <c r="I97" s="765">
        <f t="shared" si="5"/>
        <v>3328</v>
      </c>
      <c r="J97" s="771">
        <v>0</v>
      </c>
      <c r="K97" s="767">
        <v>0</v>
      </c>
    </row>
    <row r="98" spans="1:14" s="768" customFormat="1" ht="75" customHeight="1">
      <c r="A98" s="758">
        <v>91</v>
      </c>
      <c r="B98" s="769" t="s">
        <v>381</v>
      </c>
      <c r="C98" s="761">
        <v>0</v>
      </c>
      <c r="D98" s="760">
        <v>66819</v>
      </c>
      <c r="E98" s="761">
        <v>0</v>
      </c>
      <c r="F98" s="762">
        <f t="shared" si="3"/>
        <v>66819</v>
      </c>
      <c r="G98" s="763">
        <v>10</v>
      </c>
      <c r="H98" s="764">
        <f t="shared" si="4"/>
        <v>6681</v>
      </c>
      <c r="I98" s="765">
        <f t="shared" si="5"/>
        <v>60138</v>
      </c>
      <c r="J98" s="771" t="s">
        <v>284</v>
      </c>
      <c r="K98" s="767">
        <v>15</v>
      </c>
    </row>
    <row r="99" spans="1:14" s="768" customFormat="1" ht="50.1" customHeight="1">
      <c r="A99" s="758">
        <v>92</v>
      </c>
      <c r="B99" s="759" t="s">
        <v>382</v>
      </c>
      <c r="C99" s="760">
        <v>41230</v>
      </c>
      <c r="D99" s="760">
        <v>0</v>
      </c>
      <c r="E99" s="761">
        <v>0</v>
      </c>
      <c r="F99" s="762">
        <f t="shared" si="3"/>
        <v>41230</v>
      </c>
      <c r="G99" s="763">
        <v>10</v>
      </c>
      <c r="H99" s="764">
        <f t="shared" si="4"/>
        <v>4123</v>
      </c>
      <c r="I99" s="765">
        <f t="shared" si="5"/>
        <v>37107</v>
      </c>
      <c r="J99" s="771" t="s">
        <v>286</v>
      </c>
      <c r="K99" s="767">
        <v>10</v>
      </c>
    </row>
    <row r="100" spans="1:14" s="768" customFormat="1" ht="50.1" customHeight="1">
      <c r="A100" s="758">
        <v>93</v>
      </c>
      <c r="B100" s="759" t="s">
        <v>383</v>
      </c>
      <c r="C100" s="760">
        <v>1</v>
      </c>
      <c r="D100" s="760">
        <v>0</v>
      </c>
      <c r="E100" s="761">
        <v>0</v>
      </c>
      <c r="F100" s="762">
        <f t="shared" si="3"/>
        <v>1</v>
      </c>
      <c r="G100" s="763">
        <v>0</v>
      </c>
      <c r="H100" s="764">
        <f t="shared" si="4"/>
        <v>0</v>
      </c>
      <c r="I100" s="765">
        <f t="shared" si="5"/>
        <v>1</v>
      </c>
      <c r="J100" s="771" t="s">
        <v>295</v>
      </c>
      <c r="K100" s="767">
        <v>100</v>
      </c>
    </row>
    <row r="101" spans="1:14" s="768" customFormat="1" ht="50.1" customHeight="1">
      <c r="A101" s="758">
        <v>94</v>
      </c>
      <c r="B101" s="759" t="s">
        <v>384</v>
      </c>
      <c r="C101" s="760">
        <v>271796</v>
      </c>
      <c r="D101" s="760">
        <v>311483.53999999998</v>
      </c>
      <c r="E101" s="761">
        <v>0</v>
      </c>
      <c r="F101" s="762">
        <f t="shared" si="3"/>
        <v>583279.54</v>
      </c>
      <c r="G101" s="763">
        <v>30</v>
      </c>
      <c r="H101" s="764">
        <f t="shared" si="4"/>
        <v>174983</v>
      </c>
      <c r="I101" s="765">
        <f t="shared" si="5"/>
        <v>408296.54000000004</v>
      </c>
      <c r="J101" s="771"/>
      <c r="K101" s="767"/>
    </row>
    <row r="102" spans="1:14" s="768" customFormat="1" ht="50.1" customHeight="1">
      <c r="A102" s="758">
        <v>95</v>
      </c>
      <c r="B102" s="759" t="s">
        <v>385</v>
      </c>
      <c r="C102" s="761">
        <v>0</v>
      </c>
      <c r="D102" s="760">
        <v>8700</v>
      </c>
      <c r="E102" s="761">
        <v>0</v>
      </c>
      <c r="F102" s="762">
        <f t="shared" si="3"/>
        <v>8700</v>
      </c>
      <c r="G102" s="763">
        <v>10</v>
      </c>
      <c r="H102" s="764">
        <f t="shared" si="4"/>
        <v>870</v>
      </c>
      <c r="I102" s="765">
        <f t="shared" si="5"/>
        <v>7830</v>
      </c>
      <c r="J102" s="771" t="s">
        <v>284</v>
      </c>
      <c r="K102" s="767">
        <v>15</v>
      </c>
    </row>
    <row r="103" spans="1:14" s="768" customFormat="1" ht="50.1" customHeight="1">
      <c r="A103" s="758">
        <v>96</v>
      </c>
      <c r="B103" s="759" t="s">
        <v>386</v>
      </c>
      <c r="C103" s="760">
        <v>32354</v>
      </c>
      <c r="D103" s="760">
        <v>0</v>
      </c>
      <c r="E103" s="761">
        <v>0</v>
      </c>
      <c r="F103" s="762">
        <f t="shared" si="3"/>
        <v>32354</v>
      </c>
      <c r="G103" s="763">
        <v>30</v>
      </c>
      <c r="H103" s="764">
        <f t="shared" si="4"/>
        <v>9706</v>
      </c>
      <c r="I103" s="765">
        <f t="shared" si="5"/>
        <v>22648</v>
      </c>
      <c r="J103" s="771"/>
      <c r="K103" s="767"/>
    </row>
    <row r="104" spans="1:14" s="768" customFormat="1" ht="50.1" customHeight="1">
      <c r="A104" s="758">
        <v>97</v>
      </c>
      <c r="B104" s="759" t="s">
        <v>387</v>
      </c>
      <c r="C104" s="761">
        <v>0</v>
      </c>
      <c r="D104" s="760">
        <v>40960</v>
      </c>
      <c r="E104" s="761">
        <v>0</v>
      </c>
      <c r="F104" s="762">
        <f t="shared" si="3"/>
        <v>40960</v>
      </c>
      <c r="G104" s="763">
        <v>15</v>
      </c>
      <c r="H104" s="764">
        <f t="shared" si="4"/>
        <v>6144</v>
      </c>
      <c r="I104" s="765">
        <f t="shared" si="5"/>
        <v>34816</v>
      </c>
      <c r="J104" s="771"/>
      <c r="K104" s="767"/>
    </row>
    <row r="105" spans="1:14" s="768" customFormat="1" ht="50.1" customHeight="1">
      <c r="A105" s="758">
        <v>98</v>
      </c>
      <c r="B105" s="759" t="s">
        <v>388</v>
      </c>
      <c r="C105" s="761">
        <v>0</v>
      </c>
      <c r="D105" s="760">
        <v>30720</v>
      </c>
      <c r="E105" s="761">
        <v>0</v>
      </c>
      <c r="F105" s="762">
        <f t="shared" si="3"/>
        <v>30720</v>
      </c>
      <c r="G105" s="763">
        <v>15</v>
      </c>
      <c r="H105" s="764">
        <f t="shared" si="4"/>
        <v>4608</v>
      </c>
      <c r="I105" s="765">
        <f t="shared" si="5"/>
        <v>26112</v>
      </c>
      <c r="J105" s="771"/>
      <c r="K105" s="767"/>
    </row>
    <row r="106" spans="1:14" s="773" customFormat="1" ht="50.1" customHeight="1">
      <c r="A106" s="758">
        <v>99</v>
      </c>
      <c r="B106" s="759" t="s">
        <v>389</v>
      </c>
      <c r="C106" s="760">
        <v>1</v>
      </c>
      <c r="D106" s="760">
        <v>0</v>
      </c>
      <c r="E106" s="761">
        <v>0</v>
      </c>
      <c r="F106" s="762">
        <f t="shared" si="3"/>
        <v>1</v>
      </c>
      <c r="G106" s="763">
        <v>0</v>
      </c>
      <c r="H106" s="764">
        <f t="shared" si="4"/>
        <v>0</v>
      </c>
      <c r="I106" s="765">
        <f t="shared" si="5"/>
        <v>1</v>
      </c>
      <c r="J106" s="771" t="s">
        <v>286</v>
      </c>
      <c r="K106" s="767">
        <v>10</v>
      </c>
      <c r="N106" s="768"/>
    </row>
    <row r="107" spans="1:14" s="776" customFormat="1" ht="50.1" customHeight="1">
      <c r="A107" s="758">
        <v>100</v>
      </c>
      <c r="B107" s="759" t="s">
        <v>390</v>
      </c>
      <c r="C107" s="760">
        <v>4718</v>
      </c>
      <c r="D107" s="760">
        <v>0</v>
      </c>
      <c r="E107" s="761">
        <v>0</v>
      </c>
      <c r="F107" s="762">
        <f t="shared" si="3"/>
        <v>4718</v>
      </c>
      <c r="G107" s="763">
        <v>15</v>
      </c>
      <c r="H107" s="764">
        <f t="shared" si="4"/>
        <v>707</v>
      </c>
      <c r="I107" s="765">
        <f t="shared" si="5"/>
        <v>4011</v>
      </c>
      <c r="J107" s="774"/>
      <c r="K107" s="775"/>
      <c r="N107" s="768"/>
    </row>
    <row r="108" spans="1:14" s="773" customFormat="1" ht="50.1" customHeight="1">
      <c r="A108" s="758">
        <v>101</v>
      </c>
      <c r="B108" s="759" t="s">
        <v>391</v>
      </c>
      <c r="C108" s="760">
        <v>16816</v>
      </c>
      <c r="D108" s="760">
        <v>43411</v>
      </c>
      <c r="E108" s="761">
        <v>0</v>
      </c>
      <c r="F108" s="762">
        <f t="shared" si="3"/>
        <v>60227</v>
      </c>
      <c r="G108" s="763">
        <v>10</v>
      </c>
      <c r="H108" s="764">
        <f t="shared" si="4"/>
        <v>6022</v>
      </c>
      <c r="I108" s="765">
        <f t="shared" si="5"/>
        <v>54205</v>
      </c>
      <c r="K108" s="777"/>
      <c r="N108" s="768"/>
    </row>
    <row r="109" spans="1:14" s="773" customFormat="1" ht="50.1" customHeight="1">
      <c r="A109" s="758">
        <v>102</v>
      </c>
      <c r="B109" s="759" t="s">
        <v>392</v>
      </c>
      <c r="C109" s="760">
        <v>3625</v>
      </c>
      <c r="D109" s="760">
        <v>0</v>
      </c>
      <c r="E109" s="761">
        <v>0</v>
      </c>
      <c r="F109" s="762">
        <f t="shared" si="3"/>
        <v>3625</v>
      </c>
      <c r="G109" s="763">
        <v>50</v>
      </c>
      <c r="H109" s="764">
        <f t="shared" si="4"/>
        <v>1812</v>
      </c>
      <c r="I109" s="765">
        <f t="shared" si="5"/>
        <v>1813</v>
      </c>
      <c r="K109" s="777"/>
      <c r="N109" s="768"/>
    </row>
    <row r="110" spans="1:14" s="778" customFormat="1" ht="50.1" customHeight="1">
      <c r="A110" s="758">
        <v>103</v>
      </c>
      <c r="B110" s="759" t="s">
        <v>393</v>
      </c>
      <c r="C110" s="760">
        <v>8765</v>
      </c>
      <c r="D110" s="760">
        <v>0</v>
      </c>
      <c r="E110" s="761">
        <v>0</v>
      </c>
      <c r="F110" s="762">
        <f t="shared" si="3"/>
        <v>8765</v>
      </c>
      <c r="G110" s="763">
        <v>15</v>
      </c>
      <c r="H110" s="764">
        <f t="shared" si="4"/>
        <v>1314</v>
      </c>
      <c r="I110" s="765">
        <f t="shared" si="5"/>
        <v>7451</v>
      </c>
      <c r="K110" s="779"/>
      <c r="N110" s="768"/>
    </row>
    <row r="111" spans="1:14" s="778" customFormat="1" ht="50.1" customHeight="1">
      <c r="A111" s="758">
        <v>104</v>
      </c>
      <c r="B111" s="759" t="s">
        <v>394</v>
      </c>
      <c r="C111" s="760">
        <v>1</v>
      </c>
      <c r="D111" s="760">
        <v>0</v>
      </c>
      <c r="E111" s="761">
        <v>0</v>
      </c>
      <c r="F111" s="762">
        <f t="shared" si="3"/>
        <v>1</v>
      </c>
      <c r="G111" s="763">
        <v>0</v>
      </c>
      <c r="H111" s="764">
        <f t="shared" si="4"/>
        <v>0</v>
      </c>
      <c r="I111" s="765">
        <f t="shared" si="5"/>
        <v>1</v>
      </c>
      <c r="K111" s="779"/>
      <c r="N111" s="768"/>
    </row>
    <row r="112" spans="1:14" s="778" customFormat="1" ht="51" customHeight="1">
      <c r="A112" s="758">
        <v>105</v>
      </c>
      <c r="B112" s="759" t="s">
        <v>395</v>
      </c>
      <c r="C112" s="760">
        <v>13347</v>
      </c>
      <c r="D112" s="760">
        <v>0</v>
      </c>
      <c r="E112" s="761">
        <v>0</v>
      </c>
      <c r="F112" s="762">
        <f t="shared" si="3"/>
        <v>13347</v>
      </c>
      <c r="G112" s="763">
        <v>10</v>
      </c>
      <c r="H112" s="764">
        <f t="shared" si="4"/>
        <v>1334</v>
      </c>
      <c r="I112" s="765">
        <f t="shared" si="5"/>
        <v>12013</v>
      </c>
      <c r="K112" s="779"/>
      <c r="N112" s="768"/>
    </row>
    <row r="113" spans="1:11" s="778" customFormat="1" ht="60.75" customHeight="1" thickBot="1">
      <c r="A113" s="780" t="s">
        <v>396</v>
      </c>
      <c r="B113" s="781"/>
      <c r="C113" s="782">
        <f>ROUNDUP(SUM(C8:C112),0)</f>
        <v>6358940</v>
      </c>
      <c r="D113" s="782">
        <f>ROUNDUP(SUM(D8:D112),0)</f>
        <v>4490018</v>
      </c>
      <c r="E113" s="782">
        <f t="shared" ref="E113:I113" si="6">ROUNDUP(SUM(E8:E112),0)</f>
        <v>0</v>
      </c>
      <c r="F113" s="782">
        <f t="shared" si="6"/>
        <v>10848958</v>
      </c>
      <c r="G113" s="782"/>
      <c r="H113" s="782">
        <f t="shared" si="6"/>
        <v>1809158</v>
      </c>
      <c r="I113" s="782">
        <f t="shared" si="6"/>
        <v>9039800</v>
      </c>
      <c r="K113" s="779"/>
    </row>
    <row r="114" spans="1:11" ht="26.25" thickTop="1"/>
    <row r="115" spans="1:11">
      <c r="C115" s="791"/>
      <c r="D115" s="792"/>
      <c r="E115" s="791"/>
      <c r="F115" s="791"/>
      <c r="G115" s="791"/>
      <c r="H115" s="791"/>
      <c r="I115" s="791"/>
      <c r="J115" s="793">
        <f t="shared" ref="J115:K115" si="7">+J107-J112</f>
        <v>0</v>
      </c>
      <c r="K115" s="793">
        <f t="shared" si="7"/>
        <v>0</v>
      </c>
    </row>
  </sheetData>
  <mergeCells count="8">
    <mergeCell ref="A113:B113"/>
    <mergeCell ref="A1:J1"/>
    <mergeCell ref="A2:J2"/>
    <mergeCell ref="A3:I3"/>
    <mergeCell ref="A4:C4"/>
    <mergeCell ref="A5:J5"/>
    <mergeCell ref="A6:A7"/>
    <mergeCell ref="B6:B7"/>
  </mergeCells>
  <pageMargins left="0.43" right="0.31" top="0.43" bottom="0.75" header="0.3" footer="0.3"/>
  <pageSetup paperSize="9" scale="28" orientation="portrait" r:id="rId1"/>
  <rowBreaks count="2" manualBreakCount="2">
    <brk id="51" max="8" man="1"/>
    <brk id="96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F102"/>
  <sheetViews>
    <sheetView view="pageBreakPreview" zoomScale="60" workbookViewId="0">
      <selection activeCell="B19" sqref="B19"/>
    </sheetView>
  </sheetViews>
  <sheetFormatPr defaultRowHeight="20.25"/>
  <cols>
    <col min="1" max="1" width="10.140625" style="648" customWidth="1"/>
    <col min="2" max="2" width="78.5703125" style="648" customWidth="1"/>
    <col min="3" max="4" width="52.28515625" style="648" bestFit="1" customWidth="1"/>
    <col min="5" max="5" width="7.28515625" style="798" customWidth="1"/>
    <col min="6" max="6" width="15.42578125" style="600" bestFit="1" customWidth="1"/>
    <col min="7" max="256" width="9.140625" style="600"/>
    <col min="257" max="257" width="7.85546875" style="600" customWidth="1"/>
    <col min="258" max="258" width="56.85546875" style="600" customWidth="1"/>
    <col min="259" max="259" width="26.140625" style="600" customWidth="1"/>
    <col min="260" max="260" width="25.7109375" style="600" customWidth="1"/>
    <col min="261" max="512" width="9.140625" style="600"/>
    <col min="513" max="513" width="7.85546875" style="600" customWidth="1"/>
    <col min="514" max="514" width="56.85546875" style="600" customWidth="1"/>
    <col min="515" max="515" width="26.140625" style="600" customWidth="1"/>
    <col min="516" max="516" width="25.7109375" style="600" customWidth="1"/>
    <col min="517" max="768" width="9.140625" style="600"/>
    <col min="769" max="769" width="7.85546875" style="600" customWidth="1"/>
    <col min="770" max="770" width="56.85546875" style="600" customWidth="1"/>
    <col min="771" max="771" width="26.140625" style="600" customWidth="1"/>
    <col min="772" max="772" width="25.7109375" style="600" customWidth="1"/>
    <col min="773" max="1024" width="9.140625" style="600"/>
    <col min="1025" max="1025" width="7.85546875" style="600" customWidth="1"/>
    <col min="1026" max="1026" width="56.85546875" style="600" customWidth="1"/>
    <col min="1027" max="1027" width="26.140625" style="600" customWidth="1"/>
    <col min="1028" max="1028" width="25.7109375" style="600" customWidth="1"/>
    <col min="1029" max="1280" width="9.140625" style="600"/>
    <col min="1281" max="1281" width="7.85546875" style="600" customWidth="1"/>
    <col min="1282" max="1282" width="56.85546875" style="600" customWidth="1"/>
    <col min="1283" max="1283" width="26.140625" style="600" customWidth="1"/>
    <col min="1284" max="1284" width="25.7109375" style="600" customWidth="1"/>
    <col min="1285" max="1536" width="9.140625" style="600"/>
    <col min="1537" max="1537" width="7.85546875" style="600" customWidth="1"/>
    <col min="1538" max="1538" width="56.85546875" style="600" customWidth="1"/>
    <col min="1539" max="1539" width="26.140625" style="600" customWidth="1"/>
    <col min="1540" max="1540" width="25.7109375" style="600" customWidth="1"/>
    <col min="1541" max="1792" width="9.140625" style="600"/>
    <col min="1793" max="1793" width="7.85546875" style="600" customWidth="1"/>
    <col min="1794" max="1794" width="56.85546875" style="600" customWidth="1"/>
    <col min="1795" max="1795" width="26.140625" style="600" customWidth="1"/>
    <col min="1796" max="1796" width="25.7109375" style="600" customWidth="1"/>
    <col min="1797" max="2048" width="9.140625" style="600"/>
    <col min="2049" max="2049" width="7.85546875" style="600" customWidth="1"/>
    <col min="2050" max="2050" width="56.85546875" style="600" customWidth="1"/>
    <col min="2051" max="2051" width="26.140625" style="600" customWidth="1"/>
    <col min="2052" max="2052" width="25.7109375" style="600" customWidth="1"/>
    <col min="2053" max="2304" width="9.140625" style="600"/>
    <col min="2305" max="2305" width="7.85546875" style="600" customWidth="1"/>
    <col min="2306" max="2306" width="56.85546875" style="600" customWidth="1"/>
    <col min="2307" max="2307" width="26.140625" style="600" customWidth="1"/>
    <col min="2308" max="2308" width="25.7109375" style="600" customWidth="1"/>
    <col min="2309" max="2560" width="9.140625" style="600"/>
    <col min="2561" max="2561" width="7.85546875" style="600" customWidth="1"/>
    <col min="2562" max="2562" width="56.85546875" style="600" customWidth="1"/>
    <col min="2563" max="2563" width="26.140625" style="600" customWidth="1"/>
    <col min="2564" max="2564" width="25.7109375" style="600" customWidth="1"/>
    <col min="2565" max="2816" width="9.140625" style="600"/>
    <col min="2817" max="2817" width="7.85546875" style="600" customWidth="1"/>
    <col min="2818" max="2818" width="56.85546875" style="600" customWidth="1"/>
    <col min="2819" max="2819" width="26.140625" style="600" customWidth="1"/>
    <col min="2820" max="2820" width="25.7109375" style="600" customWidth="1"/>
    <col min="2821" max="3072" width="9.140625" style="600"/>
    <col min="3073" max="3073" width="7.85546875" style="600" customWidth="1"/>
    <col min="3074" max="3074" width="56.85546875" style="600" customWidth="1"/>
    <col min="3075" max="3075" width="26.140625" style="600" customWidth="1"/>
    <col min="3076" max="3076" width="25.7109375" style="600" customWidth="1"/>
    <col min="3077" max="3328" width="9.140625" style="600"/>
    <col min="3329" max="3329" width="7.85546875" style="600" customWidth="1"/>
    <col min="3330" max="3330" width="56.85546875" style="600" customWidth="1"/>
    <col min="3331" max="3331" width="26.140625" style="600" customWidth="1"/>
    <col min="3332" max="3332" width="25.7109375" style="600" customWidth="1"/>
    <col min="3333" max="3584" width="9.140625" style="600"/>
    <col min="3585" max="3585" width="7.85546875" style="600" customWidth="1"/>
    <col min="3586" max="3586" width="56.85546875" style="600" customWidth="1"/>
    <col min="3587" max="3587" width="26.140625" style="600" customWidth="1"/>
    <col min="3588" max="3588" width="25.7109375" style="600" customWidth="1"/>
    <col min="3589" max="3840" width="9.140625" style="600"/>
    <col min="3841" max="3841" width="7.85546875" style="600" customWidth="1"/>
    <col min="3842" max="3842" width="56.85546875" style="600" customWidth="1"/>
    <col min="3843" max="3843" width="26.140625" style="600" customWidth="1"/>
    <col min="3844" max="3844" width="25.7109375" style="600" customWidth="1"/>
    <col min="3845" max="4096" width="9.140625" style="600"/>
    <col min="4097" max="4097" width="7.85546875" style="600" customWidth="1"/>
    <col min="4098" max="4098" width="56.85546875" style="600" customWidth="1"/>
    <col min="4099" max="4099" width="26.140625" style="600" customWidth="1"/>
    <col min="4100" max="4100" width="25.7109375" style="600" customWidth="1"/>
    <col min="4101" max="4352" width="9.140625" style="600"/>
    <col min="4353" max="4353" width="7.85546875" style="600" customWidth="1"/>
    <col min="4354" max="4354" width="56.85546875" style="600" customWidth="1"/>
    <col min="4355" max="4355" width="26.140625" style="600" customWidth="1"/>
    <col min="4356" max="4356" width="25.7109375" style="600" customWidth="1"/>
    <col min="4357" max="4608" width="9.140625" style="600"/>
    <col min="4609" max="4609" width="7.85546875" style="600" customWidth="1"/>
    <col min="4610" max="4610" width="56.85546875" style="600" customWidth="1"/>
    <col min="4611" max="4611" width="26.140625" style="600" customWidth="1"/>
    <col min="4612" max="4612" width="25.7109375" style="600" customWidth="1"/>
    <col min="4613" max="4864" width="9.140625" style="600"/>
    <col min="4865" max="4865" width="7.85546875" style="600" customWidth="1"/>
    <col min="4866" max="4866" width="56.85546875" style="600" customWidth="1"/>
    <col min="4867" max="4867" width="26.140625" style="600" customWidth="1"/>
    <col min="4868" max="4868" width="25.7109375" style="600" customWidth="1"/>
    <col min="4869" max="5120" width="9.140625" style="600"/>
    <col min="5121" max="5121" width="7.85546875" style="600" customWidth="1"/>
    <col min="5122" max="5122" width="56.85546875" style="600" customWidth="1"/>
    <col min="5123" max="5123" width="26.140625" style="600" customWidth="1"/>
    <col min="5124" max="5124" width="25.7109375" style="600" customWidth="1"/>
    <col min="5125" max="5376" width="9.140625" style="600"/>
    <col min="5377" max="5377" width="7.85546875" style="600" customWidth="1"/>
    <col min="5378" max="5378" width="56.85546875" style="600" customWidth="1"/>
    <col min="5379" max="5379" width="26.140625" style="600" customWidth="1"/>
    <col min="5380" max="5380" width="25.7109375" style="600" customWidth="1"/>
    <col min="5381" max="5632" width="9.140625" style="600"/>
    <col min="5633" max="5633" width="7.85546875" style="600" customWidth="1"/>
    <col min="5634" max="5634" width="56.85546875" style="600" customWidth="1"/>
    <col min="5635" max="5635" width="26.140625" style="600" customWidth="1"/>
    <col min="5636" max="5636" width="25.7109375" style="600" customWidth="1"/>
    <col min="5637" max="5888" width="9.140625" style="600"/>
    <col min="5889" max="5889" width="7.85546875" style="600" customWidth="1"/>
    <col min="5890" max="5890" width="56.85546875" style="600" customWidth="1"/>
    <col min="5891" max="5891" width="26.140625" style="600" customWidth="1"/>
    <col min="5892" max="5892" width="25.7109375" style="600" customWidth="1"/>
    <col min="5893" max="6144" width="9.140625" style="600"/>
    <col min="6145" max="6145" width="7.85546875" style="600" customWidth="1"/>
    <col min="6146" max="6146" width="56.85546875" style="600" customWidth="1"/>
    <col min="6147" max="6147" width="26.140625" style="600" customWidth="1"/>
    <col min="6148" max="6148" width="25.7109375" style="600" customWidth="1"/>
    <col min="6149" max="6400" width="9.140625" style="600"/>
    <col min="6401" max="6401" width="7.85546875" style="600" customWidth="1"/>
    <col min="6402" max="6402" width="56.85546875" style="600" customWidth="1"/>
    <col min="6403" max="6403" width="26.140625" style="600" customWidth="1"/>
    <col min="6404" max="6404" width="25.7109375" style="600" customWidth="1"/>
    <col min="6405" max="6656" width="9.140625" style="600"/>
    <col min="6657" max="6657" width="7.85546875" style="600" customWidth="1"/>
    <col min="6658" max="6658" width="56.85546875" style="600" customWidth="1"/>
    <col min="6659" max="6659" width="26.140625" style="600" customWidth="1"/>
    <col min="6660" max="6660" width="25.7109375" style="600" customWidth="1"/>
    <col min="6661" max="6912" width="9.140625" style="600"/>
    <col min="6913" max="6913" width="7.85546875" style="600" customWidth="1"/>
    <col min="6914" max="6914" width="56.85546875" style="600" customWidth="1"/>
    <col min="6915" max="6915" width="26.140625" style="600" customWidth="1"/>
    <col min="6916" max="6916" width="25.7109375" style="600" customWidth="1"/>
    <col min="6917" max="7168" width="9.140625" style="600"/>
    <col min="7169" max="7169" width="7.85546875" style="600" customWidth="1"/>
    <col min="7170" max="7170" width="56.85546875" style="600" customWidth="1"/>
    <col min="7171" max="7171" width="26.140625" style="600" customWidth="1"/>
    <col min="7172" max="7172" width="25.7109375" style="600" customWidth="1"/>
    <col min="7173" max="7424" width="9.140625" style="600"/>
    <col min="7425" max="7425" width="7.85546875" style="600" customWidth="1"/>
    <col min="7426" max="7426" width="56.85546875" style="600" customWidth="1"/>
    <col min="7427" max="7427" width="26.140625" style="600" customWidth="1"/>
    <col min="7428" max="7428" width="25.7109375" style="600" customWidth="1"/>
    <col min="7429" max="7680" width="9.140625" style="600"/>
    <col min="7681" max="7681" width="7.85546875" style="600" customWidth="1"/>
    <col min="7682" max="7682" width="56.85546875" style="600" customWidth="1"/>
    <col min="7683" max="7683" width="26.140625" style="600" customWidth="1"/>
    <col min="7684" max="7684" width="25.7109375" style="600" customWidth="1"/>
    <col min="7685" max="7936" width="9.140625" style="600"/>
    <col min="7937" max="7937" width="7.85546875" style="600" customWidth="1"/>
    <col min="7938" max="7938" width="56.85546875" style="600" customWidth="1"/>
    <col min="7939" max="7939" width="26.140625" style="600" customWidth="1"/>
    <col min="7940" max="7940" width="25.7109375" style="600" customWidth="1"/>
    <col min="7941" max="8192" width="9.140625" style="600"/>
    <col min="8193" max="8193" width="7.85546875" style="600" customWidth="1"/>
    <col min="8194" max="8194" width="56.85546875" style="600" customWidth="1"/>
    <col min="8195" max="8195" width="26.140625" style="600" customWidth="1"/>
    <col min="8196" max="8196" width="25.7109375" style="600" customWidth="1"/>
    <col min="8197" max="8448" width="9.140625" style="600"/>
    <col min="8449" max="8449" width="7.85546875" style="600" customWidth="1"/>
    <col min="8450" max="8450" width="56.85546875" style="600" customWidth="1"/>
    <col min="8451" max="8451" width="26.140625" style="600" customWidth="1"/>
    <col min="8452" max="8452" width="25.7109375" style="600" customWidth="1"/>
    <col min="8453" max="8704" width="9.140625" style="600"/>
    <col min="8705" max="8705" width="7.85546875" style="600" customWidth="1"/>
    <col min="8706" max="8706" width="56.85546875" style="600" customWidth="1"/>
    <col min="8707" max="8707" width="26.140625" style="600" customWidth="1"/>
    <col min="8708" max="8708" width="25.7109375" style="600" customWidth="1"/>
    <col min="8709" max="8960" width="9.140625" style="600"/>
    <col min="8961" max="8961" width="7.85546875" style="600" customWidth="1"/>
    <col min="8962" max="8962" width="56.85546875" style="600" customWidth="1"/>
    <col min="8963" max="8963" width="26.140625" style="600" customWidth="1"/>
    <col min="8964" max="8964" width="25.7109375" style="600" customWidth="1"/>
    <col min="8965" max="9216" width="9.140625" style="600"/>
    <col min="9217" max="9217" width="7.85546875" style="600" customWidth="1"/>
    <col min="9218" max="9218" width="56.85546875" style="600" customWidth="1"/>
    <col min="9219" max="9219" width="26.140625" style="600" customWidth="1"/>
    <col min="9220" max="9220" width="25.7109375" style="600" customWidth="1"/>
    <col min="9221" max="9472" width="9.140625" style="600"/>
    <col min="9473" max="9473" width="7.85546875" style="600" customWidth="1"/>
    <col min="9474" max="9474" width="56.85546875" style="600" customWidth="1"/>
    <col min="9475" max="9475" width="26.140625" style="600" customWidth="1"/>
    <col min="9476" max="9476" width="25.7109375" style="600" customWidth="1"/>
    <col min="9477" max="9728" width="9.140625" style="600"/>
    <col min="9729" max="9729" width="7.85546875" style="600" customWidth="1"/>
    <col min="9730" max="9730" width="56.85546875" style="600" customWidth="1"/>
    <col min="9731" max="9731" width="26.140625" style="600" customWidth="1"/>
    <col min="9732" max="9732" width="25.7109375" style="600" customWidth="1"/>
    <col min="9733" max="9984" width="9.140625" style="600"/>
    <col min="9985" max="9985" width="7.85546875" style="600" customWidth="1"/>
    <col min="9986" max="9986" width="56.85546875" style="600" customWidth="1"/>
    <col min="9987" max="9987" width="26.140625" style="600" customWidth="1"/>
    <col min="9988" max="9988" width="25.7109375" style="600" customWidth="1"/>
    <col min="9989" max="10240" width="9.140625" style="600"/>
    <col min="10241" max="10241" width="7.85546875" style="600" customWidth="1"/>
    <col min="10242" max="10242" width="56.85546875" style="600" customWidth="1"/>
    <col min="10243" max="10243" width="26.140625" style="600" customWidth="1"/>
    <col min="10244" max="10244" width="25.7109375" style="600" customWidth="1"/>
    <col min="10245" max="10496" width="9.140625" style="600"/>
    <col min="10497" max="10497" width="7.85546875" style="600" customWidth="1"/>
    <col min="10498" max="10498" width="56.85546875" style="600" customWidth="1"/>
    <col min="10499" max="10499" width="26.140625" style="600" customWidth="1"/>
    <col min="10500" max="10500" width="25.7109375" style="600" customWidth="1"/>
    <col min="10501" max="10752" width="9.140625" style="600"/>
    <col min="10753" max="10753" width="7.85546875" style="600" customWidth="1"/>
    <col min="10754" max="10754" width="56.85546875" style="600" customWidth="1"/>
    <col min="10755" max="10755" width="26.140625" style="600" customWidth="1"/>
    <col min="10756" max="10756" width="25.7109375" style="600" customWidth="1"/>
    <col min="10757" max="11008" width="9.140625" style="600"/>
    <col min="11009" max="11009" width="7.85546875" style="600" customWidth="1"/>
    <col min="11010" max="11010" width="56.85546875" style="600" customWidth="1"/>
    <col min="11011" max="11011" width="26.140625" style="600" customWidth="1"/>
    <col min="11012" max="11012" width="25.7109375" style="600" customWidth="1"/>
    <col min="11013" max="11264" width="9.140625" style="600"/>
    <col min="11265" max="11265" width="7.85546875" style="600" customWidth="1"/>
    <col min="11266" max="11266" width="56.85546875" style="600" customWidth="1"/>
    <col min="11267" max="11267" width="26.140625" style="600" customWidth="1"/>
    <col min="11268" max="11268" width="25.7109375" style="600" customWidth="1"/>
    <col min="11269" max="11520" width="9.140625" style="600"/>
    <col min="11521" max="11521" width="7.85546875" style="600" customWidth="1"/>
    <col min="11522" max="11522" width="56.85546875" style="600" customWidth="1"/>
    <col min="11523" max="11523" width="26.140625" style="600" customWidth="1"/>
    <col min="11524" max="11524" width="25.7109375" style="600" customWidth="1"/>
    <col min="11525" max="11776" width="9.140625" style="600"/>
    <col min="11777" max="11777" width="7.85546875" style="600" customWidth="1"/>
    <col min="11778" max="11778" width="56.85546875" style="600" customWidth="1"/>
    <col min="11779" max="11779" width="26.140625" style="600" customWidth="1"/>
    <col min="11780" max="11780" width="25.7109375" style="600" customWidth="1"/>
    <col min="11781" max="12032" width="9.140625" style="600"/>
    <col min="12033" max="12033" width="7.85546875" style="600" customWidth="1"/>
    <col min="12034" max="12034" width="56.85546875" style="600" customWidth="1"/>
    <col min="12035" max="12035" width="26.140625" style="600" customWidth="1"/>
    <col min="12036" max="12036" width="25.7109375" style="600" customWidth="1"/>
    <col min="12037" max="12288" width="9.140625" style="600"/>
    <col min="12289" max="12289" width="7.85546875" style="600" customWidth="1"/>
    <col min="12290" max="12290" width="56.85546875" style="600" customWidth="1"/>
    <col min="12291" max="12291" width="26.140625" style="600" customWidth="1"/>
    <col min="12292" max="12292" width="25.7109375" style="600" customWidth="1"/>
    <col min="12293" max="12544" width="9.140625" style="600"/>
    <col min="12545" max="12545" width="7.85546875" style="600" customWidth="1"/>
    <col min="12546" max="12546" width="56.85546875" style="600" customWidth="1"/>
    <col min="12547" max="12547" width="26.140625" style="600" customWidth="1"/>
    <col min="12548" max="12548" width="25.7109375" style="600" customWidth="1"/>
    <col min="12549" max="12800" width="9.140625" style="600"/>
    <col min="12801" max="12801" width="7.85546875" style="600" customWidth="1"/>
    <col min="12802" max="12802" width="56.85546875" style="600" customWidth="1"/>
    <col min="12803" max="12803" width="26.140625" style="600" customWidth="1"/>
    <col min="12804" max="12804" width="25.7109375" style="600" customWidth="1"/>
    <col min="12805" max="13056" width="9.140625" style="600"/>
    <col min="13057" max="13057" width="7.85546875" style="600" customWidth="1"/>
    <col min="13058" max="13058" width="56.85546875" style="600" customWidth="1"/>
    <col min="13059" max="13059" width="26.140625" style="600" customWidth="1"/>
    <col min="13060" max="13060" width="25.7109375" style="600" customWidth="1"/>
    <col min="13061" max="13312" width="9.140625" style="600"/>
    <col min="13313" max="13313" width="7.85546875" style="600" customWidth="1"/>
    <col min="13314" max="13314" width="56.85546875" style="600" customWidth="1"/>
    <col min="13315" max="13315" width="26.140625" style="600" customWidth="1"/>
    <col min="13316" max="13316" width="25.7109375" style="600" customWidth="1"/>
    <col min="13317" max="13568" width="9.140625" style="600"/>
    <col min="13569" max="13569" width="7.85546875" style="600" customWidth="1"/>
    <col min="13570" max="13570" width="56.85546875" style="600" customWidth="1"/>
    <col min="13571" max="13571" width="26.140625" style="600" customWidth="1"/>
    <col min="13572" max="13572" width="25.7109375" style="600" customWidth="1"/>
    <col min="13573" max="13824" width="9.140625" style="600"/>
    <col min="13825" max="13825" width="7.85546875" style="600" customWidth="1"/>
    <col min="13826" max="13826" width="56.85546875" style="600" customWidth="1"/>
    <col min="13827" max="13827" width="26.140625" style="600" customWidth="1"/>
    <col min="13828" max="13828" width="25.7109375" style="600" customWidth="1"/>
    <col min="13829" max="14080" width="9.140625" style="600"/>
    <col min="14081" max="14081" width="7.85546875" style="600" customWidth="1"/>
    <col min="14082" max="14082" width="56.85546875" style="600" customWidth="1"/>
    <col min="14083" max="14083" width="26.140625" style="600" customWidth="1"/>
    <col min="14084" max="14084" width="25.7109375" style="600" customWidth="1"/>
    <col min="14085" max="14336" width="9.140625" style="600"/>
    <col min="14337" max="14337" width="7.85546875" style="600" customWidth="1"/>
    <col min="14338" max="14338" width="56.85546875" style="600" customWidth="1"/>
    <col min="14339" max="14339" width="26.140625" style="600" customWidth="1"/>
    <col min="14340" max="14340" width="25.7109375" style="600" customWidth="1"/>
    <col min="14341" max="14592" width="9.140625" style="600"/>
    <col min="14593" max="14593" width="7.85546875" style="600" customWidth="1"/>
    <col min="14594" max="14594" width="56.85546875" style="600" customWidth="1"/>
    <col min="14595" max="14595" width="26.140625" style="600" customWidth="1"/>
    <col min="14596" max="14596" width="25.7109375" style="600" customWidth="1"/>
    <col min="14597" max="14848" width="9.140625" style="600"/>
    <col min="14849" max="14849" width="7.85546875" style="600" customWidth="1"/>
    <col min="14850" max="14850" width="56.85546875" style="600" customWidth="1"/>
    <col min="14851" max="14851" width="26.140625" style="600" customWidth="1"/>
    <col min="14852" max="14852" width="25.7109375" style="600" customWidth="1"/>
    <col min="14853" max="15104" width="9.140625" style="600"/>
    <col min="15105" max="15105" width="7.85546875" style="600" customWidth="1"/>
    <col min="15106" max="15106" width="56.85546875" style="600" customWidth="1"/>
    <col min="15107" max="15107" width="26.140625" style="600" customWidth="1"/>
    <col min="15108" max="15108" width="25.7109375" style="600" customWidth="1"/>
    <col min="15109" max="15360" width="9.140625" style="600"/>
    <col min="15361" max="15361" width="7.85546875" style="600" customWidth="1"/>
    <col min="15362" max="15362" width="56.85546875" style="600" customWidth="1"/>
    <col min="15363" max="15363" width="26.140625" style="600" customWidth="1"/>
    <col min="15364" max="15364" width="25.7109375" style="600" customWidth="1"/>
    <col min="15365" max="15616" width="9.140625" style="600"/>
    <col min="15617" max="15617" width="7.85546875" style="600" customWidth="1"/>
    <col min="15618" max="15618" width="56.85546875" style="600" customWidth="1"/>
    <col min="15619" max="15619" width="26.140625" style="600" customWidth="1"/>
    <col min="15620" max="15620" width="25.7109375" style="600" customWidth="1"/>
    <col min="15621" max="15872" width="9.140625" style="600"/>
    <col min="15873" max="15873" width="7.85546875" style="600" customWidth="1"/>
    <col min="15874" max="15874" width="56.85546875" style="600" customWidth="1"/>
    <col min="15875" max="15875" width="26.140625" style="600" customWidth="1"/>
    <col min="15876" max="15876" width="25.7109375" style="600" customWidth="1"/>
    <col min="15877" max="16128" width="9.140625" style="600"/>
    <col min="16129" max="16129" width="7.85546875" style="600" customWidth="1"/>
    <col min="16130" max="16130" width="56.85546875" style="600" customWidth="1"/>
    <col min="16131" max="16131" width="26.140625" style="600" customWidth="1"/>
    <col min="16132" max="16132" width="25.7109375" style="600" customWidth="1"/>
    <col min="16133" max="16384" width="9.140625" style="600"/>
  </cols>
  <sheetData>
    <row r="1" spans="1:6" ht="40.5" customHeight="1">
      <c r="A1" s="794"/>
      <c r="B1" s="794"/>
      <c r="C1" s="794"/>
      <c r="D1" s="794"/>
      <c r="E1" s="795"/>
      <c r="F1" s="795"/>
    </row>
    <row r="2" spans="1:6" ht="35.1" customHeight="1">
      <c r="A2" s="594"/>
      <c r="B2" s="594"/>
      <c r="C2" s="594"/>
      <c r="D2" s="594"/>
      <c r="E2" s="796"/>
      <c r="F2" s="796"/>
    </row>
    <row r="3" spans="1:6" ht="35.1" customHeight="1">
      <c r="A3" s="594" t="s">
        <v>163</v>
      </c>
      <c r="B3" s="594"/>
      <c r="C3" s="594"/>
      <c r="D3" s="594"/>
      <c r="E3" s="797"/>
      <c r="F3" s="797"/>
    </row>
    <row r="4" spans="1:6">
      <c r="A4" s="659"/>
      <c r="B4" s="659"/>
      <c r="C4" s="659"/>
      <c r="D4" s="659"/>
    </row>
    <row r="5" spans="1:6" s="662" customFormat="1" ht="30" customHeight="1">
      <c r="A5" s="799" t="s">
        <v>397</v>
      </c>
      <c r="B5" s="799"/>
      <c r="C5" s="800"/>
      <c r="D5" s="801"/>
      <c r="E5" s="661">
        <v>10</v>
      </c>
    </row>
    <row r="6" spans="1:6" s="804" customFormat="1" ht="37.5" customHeight="1">
      <c r="A6" s="802" t="s">
        <v>398</v>
      </c>
      <c r="B6" s="802"/>
      <c r="C6" s="803"/>
      <c r="D6" s="628"/>
      <c r="E6" s="798"/>
    </row>
    <row r="7" spans="1:6" s="804" customFormat="1" ht="39.950000000000003" customHeight="1">
      <c r="A7" s="805" t="s">
        <v>399</v>
      </c>
      <c r="B7" s="805"/>
      <c r="C7" s="806"/>
      <c r="D7" s="628"/>
      <c r="E7" s="798"/>
    </row>
    <row r="8" spans="1:6" s="804" customFormat="1" ht="39.950000000000003" customHeight="1">
      <c r="A8" s="673" t="s">
        <v>400</v>
      </c>
      <c r="B8" s="674" t="s">
        <v>166</v>
      </c>
      <c r="C8" s="612" t="s">
        <v>167</v>
      </c>
      <c r="D8" s="612" t="s">
        <v>181</v>
      </c>
      <c r="E8" s="798"/>
    </row>
    <row r="9" spans="1:6" s="804" customFormat="1" ht="39.950000000000003" customHeight="1">
      <c r="A9" s="807"/>
      <c r="B9" s="808" t="s">
        <v>169</v>
      </c>
      <c r="C9" s="809">
        <f>+D13</f>
        <v>1000000</v>
      </c>
      <c r="D9" s="809">
        <v>1000000</v>
      </c>
      <c r="E9" s="798"/>
    </row>
    <row r="10" spans="1:6" s="804" customFormat="1" ht="39.950000000000003" customHeight="1">
      <c r="A10" s="807"/>
      <c r="B10" s="808" t="s">
        <v>182</v>
      </c>
      <c r="C10" s="809">
        <v>1500000</v>
      </c>
      <c r="D10" s="809">
        <v>0</v>
      </c>
      <c r="E10" s="798"/>
    </row>
    <row r="11" spans="1:6" s="804" customFormat="1" ht="39.950000000000003" customHeight="1">
      <c r="A11" s="807"/>
      <c r="B11" s="808" t="s">
        <v>401</v>
      </c>
      <c r="C11" s="809">
        <v>31107</v>
      </c>
      <c r="D11" s="809">
        <v>0</v>
      </c>
      <c r="E11" s="798"/>
    </row>
    <row r="12" spans="1:6" s="804" customFormat="1" ht="39.950000000000003" customHeight="1">
      <c r="A12" s="807"/>
      <c r="B12" s="808" t="s">
        <v>178</v>
      </c>
      <c r="C12" s="809">
        <v>794669</v>
      </c>
      <c r="D12" s="809">
        <v>0</v>
      </c>
      <c r="E12" s="798"/>
    </row>
    <row r="13" spans="1:6" s="804" customFormat="1" ht="39.950000000000003" customHeight="1" thickBot="1">
      <c r="A13" s="810"/>
      <c r="B13" s="810" t="s">
        <v>402</v>
      </c>
      <c r="C13" s="634">
        <f>+C9+C10+C11-C12</f>
        <v>1736438</v>
      </c>
      <c r="D13" s="634">
        <f>+D9+D10+D11-D12</f>
        <v>1000000</v>
      </c>
      <c r="E13" s="798"/>
    </row>
    <row r="14" spans="1:6" s="804" customFormat="1" ht="39.950000000000003" customHeight="1" thickTop="1">
      <c r="A14" s="803"/>
      <c r="B14" s="803"/>
      <c r="C14" s="803"/>
      <c r="D14" s="628"/>
      <c r="E14" s="798"/>
    </row>
    <row r="15" spans="1:6" s="804" customFormat="1" ht="30" customHeight="1">
      <c r="A15" s="799" t="s">
        <v>403</v>
      </c>
      <c r="B15" s="799"/>
      <c r="C15" s="800"/>
      <c r="D15" s="801"/>
      <c r="E15" s="798"/>
    </row>
    <row r="16" spans="1:6" s="812" customFormat="1" ht="34.5" customHeight="1">
      <c r="A16" s="802" t="s">
        <v>404</v>
      </c>
      <c r="B16" s="802"/>
      <c r="C16" s="811"/>
      <c r="D16" s="628"/>
      <c r="E16" s="798"/>
    </row>
    <row r="17" spans="1:5" s="812" customFormat="1" ht="35.1" customHeight="1">
      <c r="A17" s="805" t="s">
        <v>405</v>
      </c>
      <c r="B17" s="805"/>
      <c r="C17" s="813"/>
      <c r="D17" s="598"/>
      <c r="E17" s="798"/>
    </row>
    <row r="18" spans="1:5" s="593" customFormat="1" ht="39.950000000000003" customHeight="1">
      <c r="A18" s="673" t="s">
        <v>400</v>
      </c>
      <c r="B18" s="674" t="s">
        <v>166</v>
      </c>
      <c r="C18" s="612" t="s">
        <v>167</v>
      </c>
      <c r="D18" s="612" t="s">
        <v>181</v>
      </c>
      <c r="E18" s="814"/>
    </row>
    <row r="19" spans="1:5" s="617" customFormat="1" ht="39.950000000000003" customHeight="1">
      <c r="A19" s="807">
        <v>1</v>
      </c>
      <c r="B19" s="808" t="s">
        <v>406</v>
      </c>
      <c r="C19" s="809">
        <v>0</v>
      </c>
      <c r="D19" s="809">
        <v>388</v>
      </c>
      <c r="E19" s="815"/>
    </row>
    <row r="20" spans="1:5" s="617" customFormat="1" ht="39.950000000000003" customHeight="1">
      <c r="A20" s="807">
        <v>2</v>
      </c>
      <c r="B20" s="808" t="s">
        <v>407</v>
      </c>
      <c r="C20" s="809">
        <v>27958</v>
      </c>
      <c r="D20" s="809">
        <v>13502</v>
      </c>
      <c r="E20" s="815"/>
    </row>
    <row r="21" spans="1:5" s="617" customFormat="1" ht="39.950000000000003" customHeight="1">
      <c r="A21" s="807">
        <v>3</v>
      </c>
      <c r="B21" s="808" t="s">
        <v>408</v>
      </c>
      <c r="C21" s="809">
        <v>3952</v>
      </c>
      <c r="D21" s="809">
        <v>37347</v>
      </c>
      <c r="E21" s="815"/>
    </row>
    <row r="22" spans="1:5" s="617" customFormat="1" ht="9.75" customHeight="1">
      <c r="A22" s="816"/>
      <c r="B22" s="808"/>
      <c r="C22" s="809"/>
      <c r="D22" s="809"/>
      <c r="E22" s="815"/>
    </row>
    <row r="23" spans="1:5" s="617" customFormat="1" ht="39.950000000000003" customHeight="1" thickBot="1">
      <c r="A23" s="817" t="s">
        <v>174</v>
      </c>
      <c r="B23" s="817"/>
      <c r="C23" s="634">
        <f>SUM(C19:C21)</f>
        <v>31910</v>
      </c>
      <c r="D23" s="634">
        <f>SUM(D19:D21)</f>
        <v>51237</v>
      </c>
      <c r="E23" s="815"/>
    </row>
    <row r="24" spans="1:5" s="812" customFormat="1" ht="27.75" customHeight="1" thickTop="1">
      <c r="A24" s="818"/>
      <c r="B24" s="818"/>
      <c r="C24" s="818"/>
      <c r="D24" s="598"/>
      <c r="E24" s="798"/>
    </row>
    <row r="25" spans="1:5" s="821" customFormat="1" ht="30" customHeight="1">
      <c r="A25" s="799" t="s">
        <v>409</v>
      </c>
      <c r="B25" s="799"/>
      <c r="C25" s="819"/>
      <c r="D25" s="820"/>
      <c r="E25" s="815">
        <v>11</v>
      </c>
    </row>
    <row r="26" spans="1:5" s="712" customFormat="1" ht="35.1" customHeight="1">
      <c r="A26" s="822" t="s">
        <v>410</v>
      </c>
      <c r="B26" s="822"/>
      <c r="C26" s="823"/>
      <c r="D26" s="824"/>
      <c r="E26" s="798"/>
    </row>
    <row r="27" spans="1:5" s="593" customFormat="1" ht="39.950000000000003" customHeight="1">
      <c r="A27" s="825" t="s">
        <v>193</v>
      </c>
      <c r="B27" s="826" t="s">
        <v>166</v>
      </c>
      <c r="C27" s="612" t="s">
        <v>167</v>
      </c>
      <c r="D27" s="612" t="s">
        <v>181</v>
      </c>
      <c r="E27" s="814"/>
    </row>
    <row r="28" spans="1:5" s="593" customFormat="1" ht="15.75" customHeight="1">
      <c r="A28" s="827"/>
      <c r="B28" s="828"/>
      <c r="C28" s="693"/>
      <c r="D28" s="693"/>
      <c r="E28" s="814"/>
    </row>
    <row r="29" spans="1:5" s="617" customFormat="1" ht="39.950000000000003" customHeight="1">
      <c r="A29" s="807">
        <v>1</v>
      </c>
      <c r="B29" s="829" t="s">
        <v>411</v>
      </c>
      <c r="C29" s="809">
        <v>0</v>
      </c>
      <c r="D29" s="809">
        <v>503</v>
      </c>
      <c r="E29" s="815"/>
    </row>
    <row r="30" spans="1:5" s="617" customFormat="1" ht="39.950000000000003" customHeight="1">
      <c r="A30" s="807">
        <v>3</v>
      </c>
      <c r="B30" s="618" t="s">
        <v>412</v>
      </c>
      <c r="C30" s="809">
        <v>0</v>
      </c>
      <c r="D30" s="809">
        <v>5200</v>
      </c>
      <c r="E30" s="815"/>
    </row>
    <row r="31" spans="1:5" s="617" customFormat="1" ht="39.950000000000003" customHeight="1">
      <c r="A31" s="807">
        <v>4</v>
      </c>
      <c r="B31" s="830" t="s">
        <v>413</v>
      </c>
      <c r="C31" s="809">
        <v>23670</v>
      </c>
      <c r="D31" s="809">
        <v>6000</v>
      </c>
      <c r="E31" s="815"/>
    </row>
    <row r="32" spans="1:5" s="617" customFormat="1" ht="39.950000000000003" customHeight="1">
      <c r="A32" s="807">
        <v>5</v>
      </c>
      <c r="B32" s="830" t="s">
        <v>414</v>
      </c>
      <c r="C32" s="809">
        <v>1500</v>
      </c>
      <c r="D32" s="809">
        <v>1205</v>
      </c>
      <c r="E32" s="815"/>
    </row>
    <row r="33" spans="1:5" s="617" customFormat="1" ht="39.950000000000003" customHeight="1">
      <c r="A33" s="807">
        <v>6</v>
      </c>
      <c r="B33" s="830" t="s">
        <v>415</v>
      </c>
      <c r="C33" s="809">
        <v>8568</v>
      </c>
      <c r="D33" s="809">
        <v>10884</v>
      </c>
      <c r="E33" s="815"/>
    </row>
    <row r="34" spans="1:5" s="617" customFormat="1" ht="39.950000000000003" customHeight="1">
      <c r="A34" s="807">
        <v>7</v>
      </c>
      <c r="B34" s="830" t="s">
        <v>416</v>
      </c>
      <c r="C34" s="809">
        <v>0</v>
      </c>
      <c r="D34" s="809">
        <v>1575</v>
      </c>
      <c r="E34" s="815"/>
    </row>
    <row r="35" spans="1:5" s="617" customFormat="1" ht="39.950000000000003" customHeight="1">
      <c r="A35" s="807">
        <v>8</v>
      </c>
      <c r="B35" s="830" t="s">
        <v>417</v>
      </c>
      <c r="C35" s="809">
        <v>0</v>
      </c>
      <c r="D35" s="809">
        <v>1500</v>
      </c>
      <c r="E35" s="815"/>
    </row>
    <row r="36" spans="1:5" s="617" customFormat="1" ht="39.950000000000003" customHeight="1">
      <c r="A36" s="807">
        <v>9</v>
      </c>
      <c r="B36" s="830" t="s">
        <v>418</v>
      </c>
      <c r="C36" s="809">
        <v>30</v>
      </c>
      <c r="D36" s="809">
        <v>30</v>
      </c>
      <c r="E36" s="815"/>
    </row>
    <row r="37" spans="1:5" s="617" customFormat="1" ht="39.950000000000003" customHeight="1">
      <c r="A37" s="807">
        <v>10</v>
      </c>
      <c r="B37" s="830" t="s">
        <v>419</v>
      </c>
      <c r="C37" s="809">
        <v>17387</v>
      </c>
      <c r="D37" s="809">
        <v>77952</v>
      </c>
      <c r="E37" s="815"/>
    </row>
    <row r="38" spans="1:5" s="617" customFormat="1" ht="39.950000000000003" customHeight="1">
      <c r="A38" s="807">
        <v>11</v>
      </c>
      <c r="B38" s="830" t="s">
        <v>420</v>
      </c>
      <c r="C38" s="809">
        <v>17453</v>
      </c>
      <c r="D38" s="809">
        <v>3760</v>
      </c>
      <c r="E38" s="815"/>
    </row>
    <row r="39" spans="1:5" s="617" customFormat="1" ht="39.950000000000003" customHeight="1">
      <c r="A39" s="807">
        <v>12</v>
      </c>
      <c r="B39" s="830" t="s">
        <v>421</v>
      </c>
      <c r="C39" s="809">
        <v>57613</v>
      </c>
      <c r="D39" s="809">
        <v>0</v>
      </c>
      <c r="E39" s="815"/>
    </row>
    <row r="40" spans="1:5" s="617" customFormat="1" ht="39.950000000000003" customHeight="1">
      <c r="A40" s="807">
        <v>13</v>
      </c>
      <c r="B40" s="830" t="s">
        <v>422</v>
      </c>
      <c r="C40" s="809">
        <v>6000</v>
      </c>
      <c r="D40" s="809">
        <v>30510</v>
      </c>
      <c r="E40" s="815"/>
    </row>
    <row r="41" spans="1:5" s="617" customFormat="1" ht="39.950000000000003" customHeight="1">
      <c r="A41" s="807">
        <v>14</v>
      </c>
      <c r="B41" s="830" t="s">
        <v>423</v>
      </c>
      <c r="C41" s="809">
        <v>0</v>
      </c>
      <c r="D41" s="809">
        <v>19863</v>
      </c>
      <c r="E41" s="815"/>
    </row>
    <row r="42" spans="1:5" s="617" customFormat="1" ht="39.950000000000003" customHeight="1">
      <c r="A42" s="807">
        <v>15</v>
      </c>
      <c r="B42" s="830" t="s">
        <v>424</v>
      </c>
      <c r="C42" s="809">
        <v>3000</v>
      </c>
      <c r="D42" s="809">
        <v>0</v>
      </c>
      <c r="E42" s="815"/>
    </row>
    <row r="43" spans="1:5" s="617" customFormat="1" ht="39.950000000000003" customHeight="1">
      <c r="A43" s="807">
        <v>16</v>
      </c>
      <c r="B43" s="830" t="s">
        <v>425</v>
      </c>
      <c r="C43" s="809">
        <v>0</v>
      </c>
      <c r="D43" s="809">
        <v>500</v>
      </c>
      <c r="E43" s="815"/>
    </row>
    <row r="44" spans="1:5" s="617" customFormat="1" ht="39.950000000000003" customHeight="1">
      <c r="A44" s="807">
        <v>17</v>
      </c>
      <c r="B44" s="830" t="s">
        <v>426</v>
      </c>
      <c r="C44" s="809">
        <v>3450</v>
      </c>
      <c r="D44" s="809">
        <v>0</v>
      </c>
      <c r="E44" s="815"/>
    </row>
    <row r="45" spans="1:5" s="617" customFormat="1" ht="39.950000000000003" customHeight="1">
      <c r="A45" s="807">
        <v>18</v>
      </c>
      <c r="B45" s="830" t="s">
        <v>427</v>
      </c>
      <c r="C45" s="809">
        <v>0</v>
      </c>
      <c r="D45" s="809">
        <v>26371</v>
      </c>
      <c r="E45" s="815"/>
    </row>
    <row r="46" spans="1:5" s="617" customFormat="1" ht="9.75" customHeight="1">
      <c r="A46" s="807"/>
      <c r="B46" s="830"/>
      <c r="C46" s="809"/>
      <c r="D46" s="809"/>
      <c r="E46" s="815"/>
    </row>
    <row r="47" spans="1:5" s="617" customFormat="1" ht="39.950000000000003" customHeight="1" thickBot="1">
      <c r="A47" s="817" t="s">
        <v>174</v>
      </c>
      <c r="B47" s="817"/>
      <c r="C47" s="633">
        <f>SUM(C29:C45)</f>
        <v>138671</v>
      </c>
      <c r="D47" s="634">
        <f>SUM(D29:D45)</f>
        <v>185853</v>
      </c>
      <c r="E47" s="815"/>
    </row>
    <row r="48" spans="1:5" s="812" customFormat="1" ht="29.25" customHeight="1" thickTop="1">
      <c r="A48" s="831"/>
      <c r="B48" s="832"/>
      <c r="C48" s="832"/>
      <c r="D48" s="833"/>
      <c r="E48" s="798"/>
    </row>
    <row r="49" spans="1:5" s="821" customFormat="1" ht="30" customHeight="1">
      <c r="A49" s="799" t="s">
        <v>428</v>
      </c>
      <c r="B49" s="799"/>
      <c r="C49" s="819"/>
      <c r="D49" s="820"/>
      <c r="E49" s="815">
        <v>12</v>
      </c>
    </row>
    <row r="50" spans="1:5" s="812" customFormat="1" ht="35.1" customHeight="1">
      <c r="A50" s="834" t="s">
        <v>429</v>
      </c>
      <c r="B50" s="818"/>
      <c r="C50" s="818"/>
      <c r="D50" s="598"/>
      <c r="E50" s="798"/>
    </row>
    <row r="51" spans="1:5" s="593" customFormat="1" ht="39.950000000000003" customHeight="1">
      <c r="A51" s="673" t="s">
        <v>400</v>
      </c>
      <c r="B51" s="674" t="s">
        <v>430</v>
      </c>
      <c r="C51" s="612" t="s">
        <v>167</v>
      </c>
      <c r="D51" s="612" t="s">
        <v>181</v>
      </c>
      <c r="E51" s="814"/>
    </row>
    <row r="52" spans="1:5" s="593" customFormat="1" ht="39.950000000000003" customHeight="1">
      <c r="A52" s="835">
        <v>1</v>
      </c>
      <c r="B52" s="836" t="s">
        <v>431</v>
      </c>
      <c r="C52" s="837">
        <f>633528+8424</f>
        <v>641952</v>
      </c>
      <c r="D52" s="837">
        <v>0</v>
      </c>
      <c r="E52" s="814"/>
    </row>
    <row r="53" spans="1:5" s="593" customFormat="1" ht="39.950000000000003" customHeight="1">
      <c r="A53" s="835">
        <v>2</v>
      </c>
      <c r="B53" s="836" t="s">
        <v>432</v>
      </c>
      <c r="C53" s="837">
        <v>0</v>
      </c>
      <c r="D53" s="837">
        <v>8389</v>
      </c>
      <c r="E53" s="814"/>
    </row>
    <row r="54" spans="1:5" s="593" customFormat="1" ht="39.950000000000003" customHeight="1">
      <c r="A54" s="835">
        <v>3</v>
      </c>
      <c r="B54" s="838" t="s">
        <v>433</v>
      </c>
      <c r="C54" s="837">
        <v>0</v>
      </c>
      <c r="D54" s="837">
        <v>35000</v>
      </c>
      <c r="E54" s="814"/>
    </row>
    <row r="55" spans="1:5" s="593" customFormat="1" ht="39.950000000000003" customHeight="1">
      <c r="A55" s="835">
        <v>4</v>
      </c>
      <c r="B55" s="838" t="s">
        <v>434</v>
      </c>
      <c r="C55" s="837">
        <v>180</v>
      </c>
      <c r="D55" s="837">
        <v>1021</v>
      </c>
      <c r="E55" s="814"/>
    </row>
    <row r="56" spans="1:5" s="593" customFormat="1" ht="39.950000000000003" customHeight="1">
      <c r="A56" s="835">
        <v>5</v>
      </c>
      <c r="B56" s="838" t="s">
        <v>435</v>
      </c>
      <c r="C56" s="837">
        <v>0</v>
      </c>
      <c r="D56" s="837">
        <v>60000</v>
      </c>
      <c r="E56" s="814"/>
    </row>
    <row r="57" spans="1:5" s="593" customFormat="1" ht="39.950000000000003" customHeight="1">
      <c r="A57" s="835">
        <v>6</v>
      </c>
      <c r="B57" s="838" t="s">
        <v>436</v>
      </c>
      <c r="C57" s="837">
        <v>0</v>
      </c>
      <c r="D57" s="837">
        <v>562000</v>
      </c>
      <c r="E57" s="814"/>
    </row>
    <row r="58" spans="1:5" s="593" customFormat="1" ht="39.950000000000003" customHeight="1">
      <c r="A58" s="835">
        <v>7</v>
      </c>
      <c r="B58" s="838" t="s">
        <v>437</v>
      </c>
      <c r="C58" s="837">
        <v>0</v>
      </c>
      <c r="D58" s="837">
        <v>1250</v>
      </c>
      <c r="E58" s="814"/>
    </row>
    <row r="59" spans="1:5" s="593" customFormat="1" ht="39.950000000000003" customHeight="1">
      <c r="A59" s="835">
        <v>8</v>
      </c>
      <c r="B59" s="838" t="s">
        <v>438</v>
      </c>
      <c r="C59" s="837">
        <v>0</v>
      </c>
      <c r="D59" s="837">
        <v>152177</v>
      </c>
      <c r="E59" s="814"/>
    </row>
    <row r="60" spans="1:5" s="593" customFormat="1" ht="12" customHeight="1">
      <c r="A60" s="835"/>
      <c r="B60" s="838"/>
      <c r="C60" s="837"/>
      <c r="D60" s="837"/>
      <c r="E60" s="814"/>
    </row>
    <row r="61" spans="1:5" s="617" customFormat="1" ht="39.950000000000003" customHeight="1" thickBot="1">
      <c r="A61" s="817" t="s">
        <v>174</v>
      </c>
      <c r="B61" s="817"/>
      <c r="C61" s="634">
        <f>SUM(C52:C59)</f>
        <v>642132</v>
      </c>
      <c r="D61" s="634">
        <f>SUM(D52:D59)</f>
        <v>819837</v>
      </c>
      <c r="E61" s="815"/>
    </row>
    <row r="62" spans="1:5" s="842" customFormat="1" ht="21" customHeight="1" thickTop="1">
      <c r="A62" s="839"/>
      <c r="B62" s="839"/>
      <c r="C62" s="840"/>
      <c r="D62" s="841"/>
      <c r="E62" s="661"/>
    </row>
    <row r="63" spans="1:5" s="812" customFormat="1" ht="19.5" customHeight="1">
      <c r="A63" s="843"/>
      <c r="B63" s="843"/>
      <c r="C63" s="843"/>
      <c r="D63" s="844"/>
      <c r="E63" s="798"/>
    </row>
    <row r="64" spans="1:5" s="821" customFormat="1" ht="30" customHeight="1">
      <c r="A64" s="845" t="s">
        <v>439</v>
      </c>
      <c r="B64" s="845"/>
      <c r="C64" s="819"/>
      <c r="D64" s="820"/>
      <c r="E64" s="815">
        <v>13</v>
      </c>
    </row>
    <row r="65" spans="1:6" s="617" customFormat="1" ht="35.1" customHeight="1">
      <c r="A65" s="834" t="s">
        <v>440</v>
      </c>
      <c r="B65" s="846"/>
      <c r="C65" s="846"/>
      <c r="D65" s="847"/>
      <c r="E65" s="815"/>
    </row>
    <row r="66" spans="1:6" s="593" customFormat="1" ht="39.950000000000003" customHeight="1">
      <c r="A66" s="673" t="s">
        <v>400</v>
      </c>
      <c r="B66" s="674" t="s">
        <v>166</v>
      </c>
      <c r="C66" s="612" t="s">
        <v>167</v>
      </c>
      <c r="D66" s="612" t="s">
        <v>181</v>
      </c>
      <c r="E66" s="814"/>
    </row>
    <row r="67" spans="1:6" s="593" customFormat="1" ht="39.950000000000003" customHeight="1">
      <c r="A67" s="807">
        <v>1</v>
      </c>
      <c r="B67" s="848" t="s">
        <v>441</v>
      </c>
      <c r="C67" s="849">
        <f>17173399+228000+85600</f>
        <v>17486999</v>
      </c>
      <c r="D67" s="849">
        <v>9768434</v>
      </c>
      <c r="E67" s="814"/>
    </row>
    <row r="68" spans="1:6" s="593" customFormat="1" ht="6" customHeight="1">
      <c r="A68" s="807"/>
      <c r="B68" s="848"/>
      <c r="C68" s="849"/>
      <c r="D68" s="849"/>
      <c r="E68" s="814"/>
    </row>
    <row r="69" spans="1:6" s="617" customFormat="1" ht="39.950000000000003" customHeight="1" thickBot="1">
      <c r="A69" s="817" t="s">
        <v>174</v>
      </c>
      <c r="B69" s="817"/>
      <c r="C69" s="633">
        <f>SUM(C67)</f>
        <v>17486999</v>
      </c>
      <c r="D69" s="634">
        <f>SUM(D67:D67)</f>
        <v>9768434</v>
      </c>
      <c r="E69" s="815"/>
    </row>
    <row r="70" spans="1:6" s="812" customFormat="1" ht="20.25" customHeight="1" thickTop="1">
      <c r="A70" s="831"/>
      <c r="B70" s="850"/>
      <c r="C70" s="851"/>
      <c r="D70" s="852"/>
      <c r="E70" s="798"/>
    </row>
    <row r="71" spans="1:6" ht="20.25" customHeight="1"/>
    <row r="72" spans="1:6" s="821" customFormat="1" ht="30" customHeight="1">
      <c r="A72" s="799" t="s">
        <v>442</v>
      </c>
      <c r="B72" s="799"/>
      <c r="C72" s="820"/>
      <c r="D72" s="820"/>
      <c r="E72" s="853">
        <v>14</v>
      </c>
      <c r="F72" s="854"/>
    </row>
    <row r="73" spans="1:6" s="593" customFormat="1" ht="35.1" customHeight="1">
      <c r="A73" s="855" t="s">
        <v>443</v>
      </c>
      <c r="B73" s="856"/>
      <c r="C73" s="857"/>
      <c r="D73" s="857"/>
      <c r="E73" s="858"/>
    </row>
    <row r="74" spans="1:6" s="593" customFormat="1" ht="39.950000000000003" customHeight="1">
      <c r="A74" s="674" t="s">
        <v>400</v>
      </c>
      <c r="B74" s="674" t="s">
        <v>166</v>
      </c>
      <c r="C74" s="612" t="s">
        <v>167</v>
      </c>
      <c r="D74" s="612" t="s">
        <v>181</v>
      </c>
      <c r="E74" s="814"/>
    </row>
    <row r="75" spans="1:6" s="593" customFormat="1" ht="24.95" customHeight="1">
      <c r="A75" s="856"/>
      <c r="B75" s="652"/>
      <c r="C75" s="859"/>
      <c r="D75" s="859"/>
      <c r="E75" s="814"/>
    </row>
    <row r="76" spans="1:6" s="617" customFormat="1" ht="39.950000000000003" customHeight="1">
      <c r="A76" s="694">
        <v>1</v>
      </c>
      <c r="B76" s="860" t="s">
        <v>444</v>
      </c>
      <c r="C76" s="697">
        <v>3618466</v>
      </c>
      <c r="D76" s="697">
        <f>618259+138600+2154872</f>
        <v>2911731</v>
      </c>
      <c r="E76" s="815"/>
    </row>
    <row r="77" spans="1:6" s="617" customFormat="1" ht="39.950000000000003" customHeight="1">
      <c r="A77" s="694">
        <v>2</v>
      </c>
      <c r="B77" s="860" t="s">
        <v>445</v>
      </c>
      <c r="C77" s="697">
        <v>2927957</v>
      </c>
      <c r="D77" s="697">
        <f>2061785+132000+478644</f>
        <v>2672429</v>
      </c>
      <c r="E77" s="815"/>
    </row>
    <row r="78" spans="1:6" s="593" customFormat="1" ht="8.25" customHeight="1">
      <c r="A78" s="861"/>
      <c r="B78" s="862"/>
      <c r="C78" s="863"/>
      <c r="D78" s="863"/>
      <c r="E78" s="814"/>
    </row>
    <row r="79" spans="1:6" s="593" customFormat="1" ht="39.950000000000003" customHeight="1" thickBot="1">
      <c r="A79" s="817" t="s">
        <v>174</v>
      </c>
      <c r="B79" s="817"/>
      <c r="C79" s="864">
        <f>SUM(C76:C77)</f>
        <v>6546423</v>
      </c>
      <c r="D79" s="864">
        <f>SUM(D76:D77)</f>
        <v>5584160</v>
      </c>
      <c r="E79" s="814"/>
    </row>
    <row r="80" spans="1:6" ht="20.25" customHeight="1" thickTop="1">
      <c r="A80" s="839"/>
      <c r="B80" s="865"/>
      <c r="C80" s="866"/>
      <c r="D80" s="866"/>
    </row>
    <row r="81" spans="1:6" ht="18.75" customHeight="1">
      <c r="A81" s="867"/>
      <c r="B81" s="868"/>
      <c r="C81" s="869"/>
      <c r="D81" s="868"/>
      <c r="E81" s="870"/>
      <c r="F81" s="871"/>
    </row>
    <row r="82" spans="1:6" s="821" customFormat="1" ht="30" customHeight="1">
      <c r="A82" s="799" t="s">
        <v>446</v>
      </c>
      <c r="B82" s="799"/>
      <c r="C82" s="820"/>
      <c r="D82" s="820"/>
      <c r="E82" s="853">
        <v>15</v>
      </c>
      <c r="F82" s="854"/>
    </row>
    <row r="83" spans="1:6" s="593" customFormat="1" ht="35.1" customHeight="1">
      <c r="A83" s="872" t="s">
        <v>447</v>
      </c>
      <c r="B83" s="872"/>
      <c r="C83" s="857"/>
      <c r="D83" s="857"/>
      <c r="E83" s="858"/>
    </row>
    <row r="84" spans="1:6" s="593" customFormat="1" ht="39.950000000000003" customHeight="1">
      <c r="A84" s="674" t="s">
        <v>400</v>
      </c>
      <c r="B84" s="674" t="s">
        <v>166</v>
      </c>
      <c r="C84" s="612" t="s">
        <v>167</v>
      </c>
      <c r="D84" s="612" t="s">
        <v>181</v>
      </c>
      <c r="E84" s="873"/>
      <c r="F84" s="874"/>
    </row>
    <row r="85" spans="1:6" s="593" customFormat="1" ht="24.95" customHeight="1">
      <c r="A85" s="875"/>
      <c r="B85" s="856"/>
      <c r="C85" s="876"/>
      <c r="D85" s="877"/>
      <c r="E85" s="878"/>
      <c r="F85" s="879"/>
    </row>
    <row r="86" spans="1:6" s="593" customFormat="1" ht="39.950000000000003" customHeight="1">
      <c r="A86" s="880">
        <v>1</v>
      </c>
      <c r="B86" s="860" t="s">
        <v>448</v>
      </c>
      <c r="C86" s="730">
        <v>0</v>
      </c>
      <c r="D86" s="730">
        <v>100000</v>
      </c>
      <c r="E86" s="878"/>
      <c r="F86" s="879"/>
    </row>
    <row r="87" spans="1:6" s="593" customFormat="1" ht="39.950000000000003" customHeight="1">
      <c r="A87" s="880">
        <v>2</v>
      </c>
      <c r="B87" s="860" t="s">
        <v>449</v>
      </c>
      <c r="C87" s="730">
        <v>180000</v>
      </c>
      <c r="D87" s="730">
        <v>0</v>
      </c>
      <c r="E87" s="881"/>
      <c r="F87" s="882"/>
    </row>
    <row r="88" spans="1:6" s="593" customFormat="1" ht="24.95" customHeight="1">
      <c r="A88" s="880"/>
      <c r="B88" s="860"/>
      <c r="C88" s="883"/>
      <c r="D88" s="884"/>
      <c r="E88" s="881"/>
      <c r="F88" s="882"/>
    </row>
    <row r="89" spans="1:6" s="593" customFormat="1" ht="39.950000000000003" customHeight="1" thickBot="1">
      <c r="A89" s="817" t="s">
        <v>174</v>
      </c>
      <c r="B89" s="817"/>
      <c r="C89" s="864">
        <f>SUM(C86:C87)</f>
        <v>180000</v>
      </c>
      <c r="D89" s="864">
        <f>SUM(D86:D88)</f>
        <v>100000</v>
      </c>
      <c r="E89" s="881"/>
      <c r="F89" s="882"/>
    </row>
    <row r="90" spans="1:6" ht="21" thickTop="1"/>
    <row r="92" spans="1:6" ht="39.950000000000003" customHeight="1">
      <c r="A92" s="799" t="s">
        <v>450</v>
      </c>
      <c r="B92" s="799"/>
      <c r="C92" s="820"/>
      <c r="D92" s="820"/>
    </row>
    <row r="93" spans="1:6" ht="39.950000000000003" customHeight="1">
      <c r="A93" s="872" t="s">
        <v>451</v>
      </c>
      <c r="B93" s="872"/>
      <c r="C93" s="857"/>
      <c r="D93" s="857"/>
    </row>
    <row r="94" spans="1:6" ht="39.950000000000003" customHeight="1">
      <c r="A94" s="674" t="s">
        <v>400</v>
      </c>
      <c r="B94" s="674" t="s">
        <v>166</v>
      </c>
      <c r="C94" s="612" t="s">
        <v>167</v>
      </c>
      <c r="D94" s="612" t="s">
        <v>181</v>
      </c>
    </row>
    <row r="95" spans="1:6" ht="39.950000000000003" customHeight="1">
      <c r="A95" s="880">
        <v>1</v>
      </c>
      <c r="B95" s="860" t="s">
        <v>452</v>
      </c>
      <c r="C95" s="730">
        <v>25660</v>
      </c>
      <c r="D95" s="877">
        <v>0</v>
      </c>
    </row>
    <row r="96" spans="1:6" ht="39.950000000000003" customHeight="1">
      <c r="A96" s="880">
        <v>2</v>
      </c>
      <c r="B96" s="860" t="s">
        <v>453</v>
      </c>
      <c r="C96" s="730">
        <v>900</v>
      </c>
      <c r="D96" s="877">
        <v>0</v>
      </c>
    </row>
    <row r="97" spans="1:4" ht="39.950000000000003" customHeight="1">
      <c r="A97" s="880">
        <v>3</v>
      </c>
      <c r="B97" s="860" t="s">
        <v>454</v>
      </c>
      <c r="C97" s="730">
        <v>394</v>
      </c>
      <c r="D97" s="877">
        <v>0</v>
      </c>
    </row>
    <row r="98" spans="1:4" ht="39.950000000000003" customHeight="1">
      <c r="A98" s="880">
        <v>4</v>
      </c>
      <c r="B98" s="860" t="s">
        <v>455</v>
      </c>
      <c r="C98" s="730">
        <v>500</v>
      </c>
      <c r="D98" s="877">
        <v>0</v>
      </c>
    </row>
    <row r="99" spans="1:4" ht="39.950000000000003" customHeight="1">
      <c r="A99" s="880">
        <v>5</v>
      </c>
      <c r="B99" s="860" t="s">
        <v>456</v>
      </c>
      <c r="C99" s="730">
        <v>27440</v>
      </c>
      <c r="D99" s="877">
        <v>0</v>
      </c>
    </row>
    <row r="100" spans="1:4" ht="39.950000000000003" customHeight="1">
      <c r="A100" s="880">
        <v>6</v>
      </c>
      <c r="B100" s="860" t="s">
        <v>457</v>
      </c>
      <c r="C100" s="730">
        <v>10000</v>
      </c>
      <c r="D100" s="877"/>
    </row>
    <row r="101" spans="1:4" ht="39.950000000000003" customHeight="1" thickBot="1">
      <c r="A101" s="817" t="s">
        <v>174</v>
      </c>
      <c r="B101" s="817"/>
      <c r="C101" s="864">
        <f>SUM(C95:C100)</f>
        <v>64894</v>
      </c>
      <c r="D101" s="864">
        <f>SUM(D98)</f>
        <v>0</v>
      </c>
    </row>
    <row r="102" spans="1:4" ht="21" thickTop="1"/>
  </sheetData>
  <mergeCells count="25">
    <mergeCell ref="A101:B101"/>
    <mergeCell ref="A79:B79"/>
    <mergeCell ref="A82:B82"/>
    <mergeCell ref="A83:B83"/>
    <mergeCell ref="A89:B89"/>
    <mergeCell ref="A92:B92"/>
    <mergeCell ref="A93:B93"/>
    <mergeCell ref="A47:B47"/>
    <mergeCell ref="A49:B49"/>
    <mergeCell ref="A61:B61"/>
    <mergeCell ref="A64:B64"/>
    <mergeCell ref="A69:B69"/>
    <mergeCell ref="A72:B72"/>
    <mergeCell ref="A15:B15"/>
    <mergeCell ref="A16:B16"/>
    <mergeCell ref="A17:B17"/>
    <mergeCell ref="A23:B23"/>
    <mergeCell ref="A25:B25"/>
    <mergeCell ref="A26:B26"/>
    <mergeCell ref="A1:D1"/>
    <mergeCell ref="A2:D2"/>
    <mergeCell ref="A3:D3"/>
    <mergeCell ref="A5:B5"/>
    <mergeCell ref="A6:B6"/>
    <mergeCell ref="A7:B7"/>
  </mergeCells>
  <pageMargins left="0.70866141732283505" right="0.70866141732283505" top="0.74803149606299202" bottom="0.74803149606299202" header="0.31496062992126" footer="0.31496062992126"/>
  <pageSetup paperSize="9" scale="40" orientation="portrait" errors="blank" r:id="rId1"/>
  <rowBreaks count="1" manualBreakCount="1">
    <brk id="4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CASH FLOW</vt:lpstr>
      <vt:lpstr>Balance sheet 17-18</vt:lpstr>
      <vt:lpstr>Profit &amp; loss 17-18</vt:lpstr>
      <vt:lpstr>S-12345 </vt:lpstr>
      <vt:lpstr>S-6789 </vt:lpstr>
      <vt:lpstr>S-10</vt:lpstr>
      <vt:lpstr>S-11-18</vt:lpstr>
      <vt:lpstr>'Balance sheet 17-18'!Print_Area</vt:lpstr>
      <vt:lpstr>'CASH FLOW'!Print_Area</vt:lpstr>
      <vt:lpstr>'Profit &amp; loss 17-18'!Print_Area</vt:lpstr>
      <vt:lpstr>'S-10'!Print_Area</vt:lpstr>
      <vt:lpstr>'S-11-18'!Print_Area</vt:lpstr>
      <vt:lpstr>'S-12345 '!Print_Area</vt:lpstr>
      <vt:lpstr>'S-6789 '!Print_Area</vt:lpstr>
      <vt:lpstr>'S-10'!Print_Titles</vt:lpstr>
      <vt:lpstr>'S-11-18'!Print_Titles</vt:lpstr>
      <vt:lpstr>'S-12345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LENOVO-USER</dc:creator>
  <cp:lastModifiedBy>LENOVO-USER</cp:lastModifiedBy>
  <dcterms:created xsi:type="dcterms:W3CDTF">2018-12-12T04:32:37Z</dcterms:created>
  <dcterms:modified xsi:type="dcterms:W3CDTF">2018-12-12T04:38:23Z</dcterms:modified>
</cp:coreProperties>
</file>