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 activeTab="3"/>
  </bookViews>
  <sheets>
    <sheet name="Notes" sheetId="5" r:id="rId1"/>
    <sheet name="Attendence" sheetId="1" r:id="rId2"/>
    <sheet name="Statement" sheetId="2" r:id="rId3"/>
    <sheet name="Salary Slip" sheetId="3" r:id="rId4"/>
    <sheet name="Do not delete" sheetId="4" r:id="rId5"/>
  </sheets>
  <calcPr calcId="124519"/>
</workbook>
</file>

<file path=xl/calcChain.xml><?xml version="1.0" encoding="utf-8"?>
<calcChain xmlns="http://schemas.openxmlformats.org/spreadsheetml/2006/main">
  <c r="I17" i="3"/>
  <c r="I10"/>
  <c r="E10"/>
  <c r="B5" i="2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I19" i="3"/>
  <c r="I18"/>
  <c r="I16"/>
  <c r="I15"/>
  <c r="F22"/>
  <c r="F21"/>
  <c r="F20"/>
  <c r="I11"/>
  <c r="E11"/>
  <c r="E44" i="2"/>
  <c r="D44"/>
  <c r="E43"/>
  <c r="D43"/>
  <c r="E42"/>
  <c r="D42"/>
  <c r="E41"/>
  <c r="D41"/>
  <c r="E40"/>
  <c r="D40"/>
  <c r="E39"/>
  <c r="D39"/>
  <c r="E38"/>
  <c r="D38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E28"/>
  <c r="D28"/>
  <c r="E27"/>
  <c r="D27"/>
  <c r="E26"/>
  <c r="D26"/>
  <c r="E25"/>
  <c r="D25"/>
  <c r="E24"/>
  <c r="D24"/>
  <c r="E23"/>
  <c r="D23"/>
  <c r="E22"/>
  <c r="D22"/>
  <c r="E21"/>
  <c r="D21"/>
  <c r="E20"/>
  <c r="D20"/>
  <c r="E19"/>
  <c r="D19"/>
  <c r="E18"/>
  <c r="D18"/>
  <c r="E17"/>
  <c r="D17"/>
  <c r="E16"/>
  <c r="D16"/>
  <c r="E15"/>
  <c r="D15"/>
  <c r="AO45" i="1"/>
  <c r="AO42"/>
  <c r="AO41"/>
  <c r="AO39"/>
  <c r="AO38"/>
  <c r="AO36"/>
  <c r="AO35"/>
  <c r="AO33"/>
  <c r="AO32"/>
  <c r="AO30"/>
  <c r="AO29"/>
  <c r="AO26"/>
  <c r="AO24"/>
  <c r="AO23"/>
  <c r="AO21"/>
  <c r="AO18"/>
  <c r="AO17"/>
  <c r="AO14"/>
  <c r="AO10"/>
  <c r="AO9"/>
  <c r="AO8"/>
  <c r="AP47"/>
  <c r="AP46"/>
  <c r="AP45"/>
  <c r="AP44"/>
  <c r="AP43"/>
  <c r="AP42"/>
  <c r="AP41"/>
  <c r="AP40"/>
  <c r="AP39"/>
  <c r="AP38"/>
  <c r="AP37"/>
  <c r="AP36"/>
  <c r="AP35"/>
  <c r="AP34"/>
  <c r="AP33"/>
  <c r="AP32"/>
  <c r="AP31"/>
  <c r="AP30"/>
  <c r="AP29"/>
  <c r="AP28"/>
  <c r="AP27"/>
  <c r="AP26"/>
  <c r="AP25"/>
  <c r="AP24"/>
  <c r="AP23"/>
  <c r="AP22"/>
  <c r="AP21"/>
  <c r="AP20"/>
  <c r="AP19"/>
  <c r="AP18"/>
  <c r="AP17"/>
  <c r="AP16"/>
  <c r="AP15"/>
  <c r="AP14"/>
  <c r="AP13"/>
  <c r="AP12"/>
  <c r="AP11"/>
  <c r="AP10"/>
  <c r="AP9"/>
  <c r="AP8"/>
  <c r="AN47"/>
  <c r="AN46"/>
  <c r="AN45"/>
  <c r="AN44"/>
  <c r="AN43"/>
  <c r="AN42"/>
  <c r="AN41"/>
  <c r="AN40"/>
  <c r="AN39"/>
  <c r="AN38"/>
  <c r="AN37"/>
  <c r="AN36"/>
  <c r="AN35"/>
  <c r="AN34"/>
  <c r="AN33"/>
  <c r="AN32"/>
  <c r="AN31"/>
  <c r="AN30"/>
  <c r="AN29"/>
  <c r="AN28"/>
  <c r="AN27"/>
  <c r="AN26"/>
  <c r="AN25"/>
  <c r="AN24"/>
  <c r="AN23"/>
  <c r="AN22"/>
  <c r="AN21"/>
  <c r="AN20"/>
  <c r="AN19"/>
  <c r="AN18"/>
  <c r="AN17"/>
  <c r="AN16"/>
  <c r="AN15"/>
  <c r="AN14"/>
  <c r="AN13"/>
  <c r="AN12"/>
  <c r="AN11"/>
  <c r="AN10"/>
  <c r="AN9"/>
  <c r="AN8"/>
  <c r="AM47"/>
  <c r="AM46"/>
  <c r="AM45"/>
  <c r="AM44"/>
  <c r="AM43"/>
  <c r="AM42"/>
  <c r="AM41"/>
  <c r="AM40"/>
  <c r="AM39"/>
  <c r="AM38"/>
  <c r="AM37"/>
  <c r="AM36"/>
  <c r="AM35"/>
  <c r="AM34"/>
  <c r="AM33"/>
  <c r="AM32"/>
  <c r="AM31"/>
  <c r="AM30"/>
  <c r="AM29"/>
  <c r="AM28"/>
  <c r="AM27"/>
  <c r="AM26"/>
  <c r="AM25"/>
  <c r="AM24"/>
  <c r="AM23"/>
  <c r="AM22"/>
  <c r="AM21"/>
  <c r="AM20"/>
  <c r="AM19"/>
  <c r="AM18"/>
  <c r="AM17"/>
  <c r="AM16"/>
  <c r="AM15"/>
  <c r="AM14"/>
  <c r="AM13"/>
  <c r="AM12"/>
  <c r="AM11"/>
  <c r="AM10"/>
  <c r="AM9"/>
  <c r="AM8"/>
  <c r="AL47"/>
  <c r="AL46"/>
  <c r="AL45"/>
  <c r="AL44"/>
  <c r="AL43"/>
  <c r="AL42"/>
  <c r="AL41"/>
  <c r="AL40"/>
  <c r="AL39"/>
  <c r="AL38"/>
  <c r="AL37"/>
  <c r="AL36"/>
  <c r="AL35"/>
  <c r="AL34"/>
  <c r="AL33"/>
  <c r="AL32"/>
  <c r="AL31"/>
  <c r="AL30"/>
  <c r="AL29"/>
  <c r="AL28"/>
  <c r="AL27"/>
  <c r="AL26"/>
  <c r="AL25"/>
  <c r="AL24"/>
  <c r="AL23"/>
  <c r="AL22"/>
  <c r="AL21"/>
  <c r="AL20"/>
  <c r="AL19"/>
  <c r="AL18"/>
  <c r="AL17"/>
  <c r="AL16"/>
  <c r="AL15"/>
  <c r="AL14"/>
  <c r="AL13"/>
  <c r="AL12"/>
  <c r="AL11"/>
  <c r="AL10"/>
  <c r="AL9"/>
  <c r="AL8"/>
  <c r="AK47"/>
  <c r="AO47" s="1"/>
  <c r="G44" i="2" s="1"/>
  <c r="AK46" i="1"/>
  <c r="AO46" s="1"/>
  <c r="G43" i="2" s="1"/>
  <c r="AK45" i="1"/>
  <c r="AK44"/>
  <c r="AO44" s="1"/>
  <c r="G41" i="2" s="1"/>
  <c r="AK43" i="1"/>
  <c r="AO43" s="1"/>
  <c r="G40" i="2" s="1"/>
  <c r="AK42" i="1"/>
  <c r="AK41"/>
  <c r="AK40"/>
  <c r="AO40" s="1"/>
  <c r="G37" i="2" s="1"/>
  <c r="AK39" i="1"/>
  <c r="AK38"/>
  <c r="AK37"/>
  <c r="AO37" s="1"/>
  <c r="AK36"/>
  <c r="AK35"/>
  <c r="AK34"/>
  <c r="AO34" s="1"/>
  <c r="AK33"/>
  <c r="AK32"/>
  <c r="AK31"/>
  <c r="AO31" s="1"/>
  <c r="AK30"/>
  <c r="AK29"/>
  <c r="AK28"/>
  <c r="AO28" s="1"/>
  <c r="AK27"/>
  <c r="AO27" s="1"/>
  <c r="AK26"/>
  <c r="AK25"/>
  <c r="AO25" s="1"/>
  <c r="AK24"/>
  <c r="AK23"/>
  <c r="AK22"/>
  <c r="AO22" s="1"/>
  <c r="AK21"/>
  <c r="AK20"/>
  <c r="AO20" s="1"/>
  <c r="AK19"/>
  <c r="AO19" s="1"/>
  <c r="AK18"/>
  <c r="AK17"/>
  <c r="AK16"/>
  <c r="AO16" s="1"/>
  <c r="AK15"/>
  <c r="AO15" s="1"/>
  <c r="AK14"/>
  <c r="AK13"/>
  <c r="AO13" s="1"/>
  <c r="AK12"/>
  <c r="AO12" s="1"/>
  <c r="AK11"/>
  <c r="AO11" s="1"/>
  <c r="AK10"/>
  <c r="AK9"/>
  <c r="AK8"/>
  <c r="E2" i="2"/>
  <c r="H6" i="3"/>
  <c r="C5"/>
  <c r="C4"/>
  <c r="U45" i="2"/>
  <c r="T45"/>
  <c r="S45"/>
  <c r="O45"/>
  <c r="F45"/>
  <c r="E1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E14"/>
  <c r="D14"/>
  <c r="C14"/>
  <c r="E13"/>
  <c r="D13"/>
  <c r="C13"/>
  <c r="E12"/>
  <c r="D12"/>
  <c r="C12"/>
  <c r="E11"/>
  <c r="D11"/>
  <c r="C11"/>
  <c r="E10"/>
  <c r="D10"/>
  <c r="C10"/>
  <c r="E9"/>
  <c r="D9"/>
  <c r="C9"/>
  <c r="E8"/>
  <c r="D8"/>
  <c r="C8"/>
  <c r="E7"/>
  <c r="D7"/>
  <c r="C7"/>
  <c r="E6"/>
  <c r="D6"/>
  <c r="C6"/>
  <c r="E5"/>
  <c r="D5"/>
  <c r="C5"/>
  <c r="C44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G42"/>
  <c r="G39"/>
  <c r="G38"/>
  <c r="G36"/>
  <c r="G35"/>
  <c r="G5"/>
  <c r="G6" l="1"/>
  <c r="N6" s="1"/>
  <c r="G7"/>
  <c r="N7" s="1"/>
  <c r="G8"/>
  <c r="N8" s="1"/>
  <c r="G9"/>
  <c r="N9" s="1"/>
  <c r="G10"/>
  <c r="N10" s="1"/>
  <c r="G11"/>
  <c r="N11" s="1"/>
  <c r="G12"/>
  <c r="N12" s="1"/>
  <c r="G13"/>
  <c r="N13" s="1"/>
  <c r="G14"/>
  <c r="N14" s="1"/>
  <c r="G15"/>
  <c r="N15" s="1"/>
  <c r="G16"/>
  <c r="N16" s="1"/>
  <c r="G17"/>
  <c r="N17" s="1"/>
  <c r="G18"/>
  <c r="N18" s="1"/>
  <c r="G19"/>
  <c r="N19" s="1"/>
  <c r="G20"/>
  <c r="N20" s="1"/>
  <c r="G21"/>
  <c r="N21" s="1"/>
  <c r="G22"/>
  <c r="N22" s="1"/>
  <c r="G23"/>
  <c r="N23" s="1"/>
  <c r="G24"/>
  <c r="N24" s="1"/>
  <c r="G25"/>
  <c r="N25" s="1"/>
  <c r="G26"/>
  <c r="N26" s="1"/>
  <c r="G27"/>
  <c r="N27" s="1"/>
  <c r="G28"/>
  <c r="N28" s="1"/>
  <c r="G29"/>
  <c r="N29" s="1"/>
  <c r="G30"/>
  <c r="N30" s="1"/>
  <c r="G31"/>
  <c r="N31" s="1"/>
  <c r="G32"/>
  <c r="N32" s="1"/>
  <c r="G33"/>
  <c r="N33" s="1"/>
  <c r="G34"/>
  <c r="N34" s="1"/>
  <c r="F19" i="3"/>
  <c r="F18"/>
  <c r="F17"/>
  <c r="F16"/>
  <c r="F15"/>
  <c r="F24" s="1"/>
  <c r="I24" s="1"/>
  <c r="B4" i="4" s="1"/>
  <c r="I9" i="3"/>
  <c r="I5" i="2"/>
  <c r="G45"/>
  <c r="N35"/>
  <c r="M35"/>
  <c r="L35"/>
  <c r="K35"/>
  <c r="J35"/>
  <c r="N36"/>
  <c r="M36"/>
  <c r="L36"/>
  <c r="K36"/>
  <c r="J36"/>
  <c r="I36"/>
  <c r="H36"/>
  <c r="N37"/>
  <c r="M37"/>
  <c r="L37"/>
  <c r="K37"/>
  <c r="J37"/>
  <c r="I37"/>
  <c r="H37"/>
  <c r="N38"/>
  <c r="M38"/>
  <c r="L38"/>
  <c r="K38"/>
  <c r="J38"/>
  <c r="I38"/>
  <c r="H38"/>
  <c r="N39"/>
  <c r="M39"/>
  <c r="L39"/>
  <c r="K39"/>
  <c r="J39"/>
  <c r="I39"/>
  <c r="H39"/>
  <c r="N40"/>
  <c r="M40"/>
  <c r="L40"/>
  <c r="K40"/>
  <c r="J40"/>
  <c r="I40"/>
  <c r="H40"/>
  <c r="N41"/>
  <c r="M41"/>
  <c r="L41"/>
  <c r="K41"/>
  <c r="J41"/>
  <c r="I41"/>
  <c r="H41"/>
  <c r="N42"/>
  <c r="M42"/>
  <c r="L42"/>
  <c r="K42"/>
  <c r="J42"/>
  <c r="I42"/>
  <c r="H42"/>
  <c r="N43"/>
  <c r="M43"/>
  <c r="L43"/>
  <c r="K43"/>
  <c r="J43"/>
  <c r="I43"/>
  <c r="H43"/>
  <c r="N44"/>
  <c r="M44"/>
  <c r="L44"/>
  <c r="K44"/>
  <c r="J44"/>
  <c r="I44"/>
  <c r="H44"/>
  <c r="H5"/>
  <c r="K5"/>
  <c r="L5"/>
  <c r="M5"/>
  <c r="N5"/>
  <c r="H6"/>
  <c r="I6"/>
  <c r="J6"/>
  <c r="K6"/>
  <c r="L6"/>
  <c r="M6"/>
  <c r="H7"/>
  <c r="I7"/>
  <c r="J7"/>
  <c r="K7"/>
  <c r="L7"/>
  <c r="M7"/>
  <c r="H8"/>
  <c r="I8"/>
  <c r="J8"/>
  <c r="K8"/>
  <c r="L8"/>
  <c r="M8"/>
  <c r="H9"/>
  <c r="I9"/>
  <c r="J9"/>
  <c r="K9"/>
  <c r="L9"/>
  <c r="M9"/>
  <c r="H10"/>
  <c r="I10"/>
  <c r="J10"/>
  <c r="K10"/>
  <c r="L10"/>
  <c r="M10"/>
  <c r="H11"/>
  <c r="I11"/>
  <c r="J11"/>
  <c r="K11"/>
  <c r="L11"/>
  <c r="M11"/>
  <c r="H12"/>
  <c r="I12"/>
  <c r="J12"/>
  <c r="K12"/>
  <c r="L12"/>
  <c r="M12"/>
  <c r="H13"/>
  <c r="I13"/>
  <c r="J13"/>
  <c r="K13"/>
  <c r="L13"/>
  <c r="M13"/>
  <c r="H14"/>
  <c r="I14"/>
  <c r="J14"/>
  <c r="K14"/>
  <c r="L14"/>
  <c r="M14"/>
  <c r="H15"/>
  <c r="I15"/>
  <c r="J15"/>
  <c r="K15"/>
  <c r="L15"/>
  <c r="M15"/>
  <c r="H16"/>
  <c r="I16"/>
  <c r="J16"/>
  <c r="K16"/>
  <c r="L16"/>
  <c r="M16"/>
  <c r="H17"/>
  <c r="I17"/>
  <c r="J17"/>
  <c r="K17"/>
  <c r="L17"/>
  <c r="M17"/>
  <c r="H18"/>
  <c r="I18"/>
  <c r="J18"/>
  <c r="K18"/>
  <c r="L18"/>
  <c r="M18"/>
  <c r="H19"/>
  <c r="I19"/>
  <c r="J19"/>
  <c r="K19"/>
  <c r="L19"/>
  <c r="M19"/>
  <c r="H20"/>
  <c r="I20"/>
  <c r="J20"/>
  <c r="K20"/>
  <c r="L20"/>
  <c r="M20"/>
  <c r="H21"/>
  <c r="I21"/>
  <c r="J21"/>
  <c r="K21"/>
  <c r="L21"/>
  <c r="M21"/>
  <c r="H22"/>
  <c r="I22"/>
  <c r="J22"/>
  <c r="K22"/>
  <c r="L22"/>
  <c r="M22"/>
  <c r="H23"/>
  <c r="I23"/>
  <c r="J23"/>
  <c r="K23"/>
  <c r="L23"/>
  <c r="M23"/>
  <c r="H24"/>
  <c r="I24"/>
  <c r="J24"/>
  <c r="K24"/>
  <c r="L24"/>
  <c r="M24"/>
  <c r="H25"/>
  <c r="I25"/>
  <c r="J25"/>
  <c r="K25"/>
  <c r="L25"/>
  <c r="M25"/>
  <c r="H26"/>
  <c r="I26"/>
  <c r="J26"/>
  <c r="K26"/>
  <c r="L26"/>
  <c r="M26"/>
  <c r="H27"/>
  <c r="I27"/>
  <c r="J27"/>
  <c r="K27"/>
  <c r="L27"/>
  <c r="M27"/>
  <c r="H28"/>
  <c r="I28"/>
  <c r="J28"/>
  <c r="K28"/>
  <c r="L28"/>
  <c r="M28"/>
  <c r="H29"/>
  <c r="I29"/>
  <c r="J29"/>
  <c r="K29"/>
  <c r="L29"/>
  <c r="M29"/>
  <c r="H30"/>
  <c r="I30"/>
  <c r="J30"/>
  <c r="K30"/>
  <c r="L30"/>
  <c r="M30"/>
  <c r="H31"/>
  <c r="I31"/>
  <c r="J31"/>
  <c r="K31"/>
  <c r="L31"/>
  <c r="M31"/>
  <c r="H32"/>
  <c r="I32"/>
  <c r="J32"/>
  <c r="K32"/>
  <c r="L32"/>
  <c r="M32"/>
  <c r="H33"/>
  <c r="I33"/>
  <c r="J33"/>
  <c r="K33"/>
  <c r="L33"/>
  <c r="M33"/>
  <c r="H34"/>
  <c r="I34"/>
  <c r="J34"/>
  <c r="K34"/>
  <c r="L34"/>
  <c r="M34"/>
  <c r="H35"/>
  <c r="I35"/>
  <c r="B24" i="4"/>
  <c r="H24" s="1"/>
  <c r="B9"/>
  <c r="B8"/>
  <c r="B7"/>
  <c r="B6"/>
  <c r="B5"/>
  <c r="B10"/>
  <c r="B14"/>
  <c r="B15"/>
  <c r="B16"/>
  <c r="B17"/>
  <c r="B18"/>
  <c r="B19"/>
  <c r="B20"/>
  <c r="B21"/>
  <c r="B22"/>
  <c r="C24"/>
  <c r="D24"/>
  <c r="F24"/>
  <c r="J5" i="2"/>
  <c r="J45" s="1"/>
  <c r="G24" i="4" l="1"/>
  <c r="I24" s="1"/>
  <c r="B23"/>
  <c r="N45" i="2"/>
  <c r="Q35"/>
  <c r="P35"/>
  <c r="Q34"/>
  <c r="P34"/>
  <c r="Q33"/>
  <c r="P33"/>
  <c r="Q32"/>
  <c r="P32"/>
  <c r="Q31"/>
  <c r="P31"/>
  <c r="Q30"/>
  <c r="P30"/>
  <c r="Q29"/>
  <c r="P29"/>
  <c r="Q28"/>
  <c r="P28"/>
  <c r="Q27"/>
  <c r="P27"/>
  <c r="Q26"/>
  <c r="P26"/>
  <c r="Q25"/>
  <c r="P25"/>
  <c r="Q24"/>
  <c r="P24"/>
  <c r="Q23"/>
  <c r="P23"/>
  <c r="Q22"/>
  <c r="P22"/>
  <c r="Q21"/>
  <c r="P21"/>
  <c r="Q20"/>
  <c r="P20"/>
  <c r="Q19"/>
  <c r="P19"/>
  <c r="Q18"/>
  <c r="P18"/>
  <c r="Q17"/>
  <c r="P17"/>
  <c r="Q16"/>
  <c r="P16"/>
  <c r="Q15"/>
  <c r="P15"/>
  <c r="Q14"/>
  <c r="P14"/>
  <c r="Q13"/>
  <c r="P13"/>
  <c r="Q12"/>
  <c r="P12"/>
  <c r="Q11"/>
  <c r="P11"/>
  <c r="Q10"/>
  <c r="P10"/>
  <c r="Q9"/>
  <c r="P9"/>
  <c r="Q8"/>
  <c r="P8"/>
  <c r="Q7"/>
  <c r="P7"/>
  <c r="Q6"/>
  <c r="P6"/>
  <c r="H45"/>
  <c r="Q5"/>
  <c r="P5"/>
  <c r="Q44"/>
  <c r="P44"/>
  <c r="Q43"/>
  <c r="P43"/>
  <c r="Q42"/>
  <c r="P42"/>
  <c r="Q41"/>
  <c r="P41"/>
  <c r="Q40"/>
  <c r="P40"/>
  <c r="Q39"/>
  <c r="P39"/>
  <c r="Q38"/>
  <c r="P38"/>
  <c r="Q37"/>
  <c r="P37"/>
  <c r="Q36"/>
  <c r="P36"/>
  <c r="M45"/>
  <c r="L45"/>
  <c r="K45"/>
  <c r="I45"/>
  <c r="H22" i="4"/>
  <c r="F22"/>
  <c r="D22"/>
  <c r="C22"/>
  <c r="G22" s="1"/>
  <c r="E21"/>
  <c r="I21" s="1"/>
  <c r="D21"/>
  <c r="C21"/>
  <c r="E20"/>
  <c r="I20" s="1"/>
  <c r="D20"/>
  <c r="C20"/>
  <c r="H19"/>
  <c r="F19"/>
  <c r="D19"/>
  <c r="C19"/>
  <c r="G19" s="1"/>
  <c r="E18"/>
  <c r="I18" s="1"/>
  <c r="D18"/>
  <c r="C18"/>
  <c r="H17"/>
  <c r="F17"/>
  <c r="D17"/>
  <c r="C17"/>
  <c r="G17" s="1"/>
  <c r="E16"/>
  <c r="I16" s="1"/>
  <c r="D16"/>
  <c r="C16"/>
  <c r="H15"/>
  <c r="F15"/>
  <c r="E15"/>
  <c r="D15"/>
  <c r="C15"/>
  <c r="G15" s="1"/>
  <c r="E14"/>
  <c r="I14" s="1"/>
  <c r="D14"/>
  <c r="C14"/>
  <c r="E23" l="1"/>
  <c r="I23" s="1"/>
  <c r="D23"/>
  <c r="C23"/>
  <c r="R36" i="2"/>
  <c r="V36"/>
  <c r="R37"/>
  <c r="V37"/>
  <c r="R38"/>
  <c r="V38"/>
  <c r="R39"/>
  <c r="V39"/>
  <c r="R40"/>
  <c r="V40"/>
  <c r="R41"/>
  <c r="V41"/>
  <c r="R42"/>
  <c r="V42"/>
  <c r="R43"/>
  <c r="V43"/>
  <c r="R44"/>
  <c r="V44"/>
  <c r="R5"/>
  <c r="P45"/>
  <c r="V5"/>
  <c r="R6"/>
  <c r="V6"/>
  <c r="R7"/>
  <c r="V7"/>
  <c r="R8"/>
  <c r="V8"/>
  <c r="R9"/>
  <c r="V9"/>
  <c r="R10"/>
  <c r="V10"/>
  <c r="R11"/>
  <c r="V11"/>
  <c r="R12"/>
  <c r="V12"/>
  <c r="R13"/>
  <c r="V13"/>
  <c r="R14"/>
  <c r="V14"/>
  <c r="R15"/>
  <c r="V15"/>
  <c r="R16"/>
  <c r="V16"/>
  <c r="R17"/>
  <c r="V17"/>
  <c r="R18"/>
  <c r="V18"/>
  <c r="R19"/>
  <c r="V19"/>
  <c r="R20"/>
  <c r="V20"/>
  <c r="R21"/>
  <c r="V21"/>
  <c r="R22"/>
  <c r="V22"/>
  <c r="R23"/>
  <c r="V23"/>
  <c r="R24"/>
  <c r="V24"/>
  <c r="R25"/>
  <c r="V25"/>
  <c r="R26"/>
  <c r="V26"/>
  <c r="R27"/>
  <c r="V27"/>
  <c r="R28"/>
  <c r="V28"/>
  <c r="R29"/>
  <c r="V29"/>
  <c r="R30"/>
  <c r="V30"/>
  <c r="R31"/>
  <c r="V31"/>
  <c r="R32"/>
  <c r="V32"/>
  <c r="R33"/>
  <c r="V33"/>
  <c r="R34"/>
  <c r="V34"/>
  <c r="R35"/>
  <c r="V35"/>
  <c r="Q45"/>
  <c r="I15" i="4"/>
  <c r="I17"/>
  <c r="I19"/>
  <c r="I22"/>
  <c r="V45" i="2" l="1"/>
  <c r="R45"/>
  <c r="A26" i="4"/>
  <c r="E26" i="3" s="1"/>
</calcChain>
</file>

<file path=xl/sharedStrings.xml><?xml version="1.0" encoding="utf-8"?>
<sst xmlns="http://schemas.openxmlformats.org/spreadsheetml/2006/main" count="1279" uniqueCount="198">
  <si>
    <t>SL No</t>
  </si>
  <si>
    <t>EMP ID</t>
  </si>
  <si>
    <t>EMP Name</t>
  </si>
  <si>
    <t>Designation</t>
  </si>
  <si>
    <t>Department</t>
  </si>
  <si>
    <t>EMP001</t>
  </si>
  <si>
    <t>EMP002</t>
  </si>
  <si>
    <t>EMP003</t>
  </si>
  <si>
    <t>EMP004</t>
  </si>
  <si>
    <t>EMP005</t>
  </si>
  <si>
    <t>EMP006</t>
  </si>
  <si>
    <t>EMP007</t>
  </si>
  <si>
    <t>EMP008</t>
  </si>
  <si>
    <t>EMP009</t>
  </si>
  <si>
    <t>EMP010</t>
  </si>
  <si>
    <t>EMP011</t>
  </si>
  <si>
    <t>EMP012</t>
  </si>
  <si>
    <t>EMP013</t>
  </si>
  <si>
    <t>EMP014</t>
  </si>
  <si>
    <t>EMP015</t>
  </si>
  <si>
    <t>EMP016</t>
  </si>
  <si>
    <t>EMP017</t>
  </si>
  <si>
    <t>EMP018</t>
  </si>
  <si>
    <t>EMP019</t>
  </si>
  <si>
    <t>EMP020</t>
  </si>
  <si>
    <t>EMP021</t>
  </si>
  <si>
    <t>EMP022</t>
  </si>
  <si>
    <t>EMP023</t>
  </si>
  <si>
    <t>EMP024</t>
  </si>
  <si>
    <t>EMP025</t>
  </si>
  <si>
    <t>EMP026</t>
  </si>
  <si>
    <t>EMP027</t>
  </si>
  <si>
    <t>EMP028</t>
  </si>
  <si>
    <t>EMP029</t>
  </si>
  <si>
    <t>EMP030</t>
  </si>
  <si>
    <t>EMP031</t>
  </si>
  <si>
    <t>EMP032</t>
  </si>
  <si>
    <t>EMP033</t>
  </si>
  <si>
    <t>EMP034</t>
  </si>
  <si>
    <t>EMP035</t>
  </si>
  <si>
    <t>EMP036</t>
  </si>
  <si>
    <t>EMP037</t>
  </si>
  <si>
    <t>EMP038</t>
  </si>
  <si>
    <t>EMP039</t>
  </si>
  <si>
    <t>EMP040</t>
  </si>
  <si>
    <t>Name of the Company</t>
  </si>
  <si>
    <t>Salary for the month of</t>
  </si>
  <si>
    <t>Present</t>
  </si>
  <si>
    <t>P</t>
  </si>
  <si>
    <t>Casual Leave</t>
  </si>
  <si>
    <t>CL</t>
  </si>
  <si>
    <t>Days worked</t>
  </si>
  <si>
    <t>Absent</t>
  </si>
  <si>
    <t>A</t>
  </si>
  <si>
    <t>Half Day</t>
  </si>
  <si>
    <t>HL</t>
  </si>
  <si>
    <t>Half day un-paid</t>
  </si>
  <si>
    <t>Gross Salary</t>
  </si>
  <si>
    <t>Salary Payable</t>
  </si>
  <si>
    <t>Basic Pay</t>
  </si>
  <si>
    <t>DA</t>
  </si>
  <si>
    <t>HRA</t>
  </si>
  <si>
    <t>Conveyance Allowance</t>
  </si>
  <si>
    <t>Uniform Allowance</t>
  </si>
  <si>
    <t>Special Allowance</t>
  </si>
  <si>
    <t>Others</t>
  </si>
  <si>
    <t>Salary</t>
  </si>
  <si>
    <t>Medical Allowance</t>
  </si>
  <si>
    <t>EPF</t>
  </si>
  <si>
    <t>ESI</t>
  </si>
  <si>
    <t>Advances</t>
  </si>
  <si>
    <t>Other Deductions</t>
  </si>
  <si>
    <t>Net Salary</t>
  </si>
  <si>
    <t>For the Month of</t>
  </si>
  <si>
    <t>Gross salary</t>
  </si>
  <si>
    <t>Address of the Company</t>
  </si>
  <si>
    <t xml:space="preserve">Salary Slip  for the month of </t>
  </si>
  <si>
    <t>Dearness Allowance</t>
  </si>
  <si>
    <t>House Rent Allowance</t>
  </si>
  <si>
    <t>EPF Emplyee Contribution</t>
  </si>
  <si>
    <t>ESI Employee Contribution</t>
  </si>
  <si>
    <t>Staff Advances</t>
  </si>
  <si>
    <t>Staff loan</t>
  </si>
  <si>
    <t>Loans</t>
  </si>
  <si>
    <t>Other deductions</t>
  </si>
  <si>
    <t>Net Salary Payable</t>
  </si>
  <si>
    <t>Employee ID :</t>
  </si>
  <si>
    <t>Name of the Employee :</t>
  </si>
  <si>
    <t>Designation :</t>
  </si>
  <si>
    <t>Department :</t>
  </si>
  <si>
    <t>No. of Working days :</t>
  </si>
  <si>
    <t>No of Days present :</t>
  </si>
  <si>
    <t>(This is a computer generated statement, authorisation not required)</t>
  </si>
  <si>
    <t>.</t>
  </si>
  <si>
    <t>Find Function</t>
  </si>
  <si>
    <t>Len Function to count Characters</t>
  </si>
  <si>
    <t>IFERROR to ignore error</t>
  </si>
  <si>
    <t>Find Position of "." using Find Function</t>
  </si>
  <si>
    <t xml:space="preserve"> =IFERROR(FIND(".",B4)-1,"")</t>
  </si>
  <si>
    <t>Use Mid Function to extract "."</t>
  </si>
  <si>
    <t xml:space="preserve"> =IFERROR(MID($B$4,FIND(".",$B$4),1),"")</t>
  </si>
  <si>
    <t>Use If Function to count number of Characters excluding paise</t>
  </si>
  <si>
    <t xml:space="preserve"> =IFERROR(LEN($B$4)-(FIND(".",$B$4)-1),"")</t>
  </si>
  <si>
    <t>1st one</t>
  </si>
  <si>
    <t>10 to 19</t>
  </si>
  <si>
    <t>21 to 99</t>
  </si>
  <si>
    <t>2nd one</t>
  </si>
  <si>
    <t>Amount</t>
  </si>
  <si>
    <t>Deductions</t>
  </si>
  <si>
    <t>You can Increase beyon 10 characters by adding formulas</t>
  </si>
  <si>
    <t>ABC CO LTD</t>
  </si>
  <si>
    <t>MG ROAD, COCHIN -14</t>
  </si>
  <si>
    <t>Please enter the data in Green filled cells only</t>
  </si>
  <si>
    <t>Mark attendence as mentioned below:</t>
  </si>
  <si>
    <t>Half Day - unpaid</t>
  </si>
  <si>
    <t>1)</t>
  </si>
  <si>
    <t>2)</t>
  </si>
  <si>
    <t>3)</t>
  </si>
  <si>
    <t>Total worknig days taken 25 days</t>
  </si>
  <si>
    <t>4)</t>
  </si>
  <si>
    <t>Fill the Gross salary of each employee in salary statement</t>
  </si>
  <si>
    <t>5)</t>
  </si>
  <si>
    <t>EPF employees contribution taken 12.5% of Basic + DA</t>
  </si>
  <si>
    <t>6)</t>
  </si>
  <si>
    <t>ESI Emloyee contribution calculated @ 1.75 of gross pay</t>
  </si>
  <si>
    <t>Total Days</t>
  </si>
  <si>
    <t>General Manager</t>
  </si>
  <si>
    <t>Administration</t>
  </si>
  <si>
    <t>Manager - Sales</t>
  </si>
  <si>
    <t>Sales</t>
  </si>
  <si>
    <t>ASM Sales - A</t>
  </si>
  <si>
    <t>ASM Sales - B</t>
  </si>
  <si>
    <t>TL Sales - A</t>
  </si>
  <si>
    <t>TL Sales - B</t>
  </si>
  <si>
    <t>Sales Executive</t>
  </si>
  <si>
    <t>Senior Sales Executive</t>
  </si>
  <si>
    <t>Marketing Executive</t>
  </si>
  <si>
    <t>Tele Caller</t>
  </si>
  <si>
    <t>Front Office Executive</t>
  </si>
  <si>
    <t>Back office Executive</t>
  </si>
  <si>
    <t>House Keeping Staff</t>
  </si>
  <si>
    <t>Driver</t>
  </si>
  <si>
    <t>Senior Accountant</t>
  </si>
  <si>
    <t>Accounts Assistant</t>
  </si>
  <si>
    <t>HR Officer</t>
  </si>
  <si>
    <t>HR Executive</t>
  </si>
  <si>
    <t>Human Resource</t>
  </si>
  <si>
    <t>Accounts</t>
  </si>
  <si>
    <t>Trainee Sales</t>
  </si>
  <si>
    <t>Office Assistant</t>
  </si>
  <si>
    <t>FRINCE K FRANCIS</t>
  </si>
  <si>
    <t>VINOD P V</t>
  </si>
  <si>
    <t>SHAHUL HAMEED P S</t>
  </si>
  <si>
    <t>SURESH P</t>
  </si>
  <si>
    <t>DILEEP T K</t>
  </si>
  <si>
    <t>PRASANTH V</t>
  </si>
  <si>
    <t>ABDUL HAKEEM T M</t>
  </si>
  <si>
    <t>PRADEEP KUMAR P</t>
  </si>
  <si>
    <t>PEETHAMBARAN T</t>
  </si>
  <si>
    <t>YASIR M T</t>
  </si>
  <si>
    <t>SIVAPRASAD V V</t>
  </si>
  <si>
    <t>JAYARAJ R</t>
  </si>
  <si>
    <t>SUBIN K</t>
  </si>
  <si>
    <t xml:space="preserve">SUNEESH </t>
  </si>
  <si>
    <t>PRAJEESH M R</t>
  </si>
  <si>
    <t>SREENATH V</t>
  </si>
  <si>
    <t>YADU SANKAR M</t>
  </si>
  <si>
    <t>SUBASH C P</t>
  </si>
  <si>
    <t>SHAFEEK AHAMMED C P</t>
  </si>
  <si>
    <t>ALI MUNSHEER T</t>
  </si>
  <si>
    <t>PRAKASH K</t>
  </si>
  <si>
    <t>MUHAMMED SHAFEEK K</t>
  </si>
  <si>
    <t>PRABEESH P K</t>
  </si>
  <si>
    <t>SRUTHI K</t>
  </si>
  <si>
    <t>IBRAHIM KUTTY V</t>
  </si>
  <si>
    <t>JIJESH T</t>
  </si>
  <si>
    <t>SAJITH K K</t>
  </si>
  <si>
    <t>RAGHU V</t>
  </si>
  <si>
    <t>PRASANTH P</t>
  </si>
  <si>
    <t>MANIKANDAN N</t>
  </si>
  <si>
    <t>AJEESH K</t>
  </si>
  <si>
    <t>MOHAMMED UNAIS P V</t>
  </si>
  <si>
    <t>KRISHNA C R</t>
  </si>
  <si>
    <t>BIJITHA P</t>
  </si>
  <si>
    <t>SHIBINA M</t>
  </si>
  <si>
    <t>VINI PRASAD V</t>
  </si>
  <si>
    <t xml:space="preserve">SHABANA NIZAMUDHEEN </t>
  </si>
  <si>
    <t>AKHILA P</t>
  </si>
  <si>
    <t>SARADHA M</t>
  </si>
  <si>
    <t>7)</t>
  </si>
  <si>
    <t>Enter Employee ID in Salary Slip to auto fill the salary details</t>
  </si>
  <si>
    <t xml:space="preserve">Salary Sheet of  </t>
  </si>
  <si>
    <t>created by: Sumeshkula@gmail.com</t>
  </si>
  <si>
    <t>Created by</t>
  </si>
  <si>
    <t>Sumesh Kulakkad</t>
  </si>
  <si>
    <t>Contact</t>
  </si>
  <si>
    <t>Sumeshkula@gmail.con</t>
  </si>
  <si>
    <t>Do not enter data in this sheet..!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</si>
</sst>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6"/>
      <color rgb="FFFF000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0" fillId="0" borderId="1" xfId="0" applyBorder="1"/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vertical="center" textRotation="90" shrinkToFit="1"/>
    </xf>
    <xf numFmtId="0" fontId="0" fillId="2" borderId="4" xfId="0" applyFill="1" applyBorder="1" applyAlignment="1">
      <alignment vertical="center" textRotation="90" shrinkToFit="1"/>
    </xf>
    <xf numFmtId="0" fontId="0" fillId="2" borderId="3" xfId="0" applyFill="1" applyBorder="1" applyAlignment="1">
      <alignment vertical="center" textRotation="90" shrinkToFi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/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12" xfId="0" applyBorder="1"/>
    <xf numFmtId="0" fontId="0" fillId="0" borderId="7" xfId="0" applyBorder="1"/>
    <xf numFmtId="0" fontId="0" fillId="0" borderId="0" xfId="0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7" xfId="0" applyBorder="1" applyAlignment="1">
      <alignment horizontal="right"/>
    </xf>
    <xf numFmtId="0" fontId="0" fillId="0" borderId="12" xfId="0" applyBorder="1" applyAlignment="1"/>
    <xf numFmtId="0" fontId="7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0" fillId="0" borderId="0" xfId="0"/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17" fontId="3" fillId="4" borderId="1" xfId="0" applyNumberFormat="1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7" fontId="3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0" fillId="5" borderId="1" xfId="0" applyFill="1" applyBorder="1" applyAlignment="1">
      <alignment horizontal="center"/>
    </xf>
    <xf numFmtId="0" fontId="3" fillId="5" borderId="0" xfId="0" applyFont="1" applyFill="1"/>
    <xf numFmtId="0" fontId="3" fillId="0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vertical="center" wrapText="1"/>
    </xf>
    <xf numFmtId="43" fontId="4" fillId="6" borderId="0" xfId="1" applyFont="1" applyFill="1" applyBorder="1" applyAlignment="1"/>
    <xf numFmtId="0" fontId="4" fillId="6" borderId="0" xfId="0" applyFont="1" applyFill="1" applyBorder="1"/>
    <xf numFmtId="1" fontId="4" fillId="6" borderId="0" xfId="0" applyNumberFormat="1" applyFont="1" applyFill="1" applyBorder="1"/>
    <xf numFmtId="0" fontId="4" fillId="6" borderId="0" xfId="0" applyFont="1" applyFill="1" applyBorder="1" applyAlignment="1">
      <alignment wrapText="1"/>
    </xf>
    <xf numFmtId="0" fontId="4" fillId="6" borderId="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11" xfId="0" applyFont="1" applyFill="1" applyBorder="1" applyAlignment="1">
      <alignment horizontal="center" wrapText="1"/>
    </xf>
    <xf numFmtId="0" fontId="11" fillId="6" borderId="0" xfId="0" applyFont="1" applyFill="1" applyBorder="1" applyAlignment="1">
      <alignment horizontal="center" vertical="center" wrapText="1"/>
    </xf>
    <xf numFmtId="39" fontId="2" fillId="6" borderId="0" xfId="1" applyNumberFormat="1" applyFont="1" applyFill="1" applyBorder="1" applyAlignment="1" applyProtection="1">
      <alignment horizontal="center" vertical="center"/>
      <protection locked="0"/>
    </xf>
    <xf numFmtId="37" fontId="4" fillId="6" borderId="0" xfId="1" applyNumberFormat="1" applyFont="1" applyFill="1" applyBorder="1" applyAlignment="1">
      <alignment horizontal="center" vertical="center"/>
    </xf>
    <xf numFmtId="1" fontId="4" fillId="6" borderId="0" xfId="1" applyNumberFormat="1" applyFont="1" applyFill="1" applyBorder="1" applyAlignment="1">
      <alignment horizontal="center" vertical="center"/>
    </xf>
    <xf numFmtId="1" fontId="12" fillId="6" borderId="0" xfId="1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1" fontId="4" fillId="6" borderId="0" xfId="1" applyNumberFormat="1" applyFont="1" applyFill="1" applyBorder="1"/>
    <xf numFmtId="1" fontId="4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 wrapText="1"/>
    </xf>
    <xf numFmtId="0" fontId="4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wrapText="1"/>
    </xf>
    <xf numFmtId="0" fontId="13" fillId="6" borderId="0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 wrapText="1"/>
    </xf>
    <xf numFmtId="0" fontId="2" fillId="0" borderId="0" xfId="0" applyFont="1"/>
    <xf numFmtId="0" fontId="4" fillId="0" borderId="0" xfId="0" applyFont="1"/>
    <xf numFmtId="0" fontId="8" fillId="0" borderId="1" xfId="0" applyFont="1" applyBorder="1"/>
    <xf numFmtId="0" fontId="9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/>
    </xf>
    <xf numFmtId="0" fontId="3" fillId="0" borderId="16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4" fillId="0" borderId="0" xfId="0" applyFont="1" applyBorder="1"/>
    <xf numFmtId="0" fontId="15" fillId="0" borderId="0" xfId="0" applyFont="1" applyBorder="1"/>
    <xf numFmtId="0" fontId="0" fillId="0" borderId="2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1" xfId="0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0" fillId="0" borderId="4" xfId="1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12" xfId="1" applyFont="1" applyBorder="1" applyAlignment="1">
      <alignment horizontal="center"/>
    </xf>
    <xf numFmtId="43" fontId="0" fillId="0" borderId="0" xfId="1" applyFont="1" applyBorder="1"/>
    <xf numFmtId="43" fontId="0" fillId="4" borderId="1" xfId="1" applyNumberFormat="1" applyFont="1" applyFill="1" applyBorder="1"/>
    <xf numFmtId="43" fontId="0" fillId="0" borderId="1" xfId="1" applyNumberFormat="1" applyFont="1" applyBorder="1"/>
    <xf numFmtId="43" fontId="3" fillId="0" borderId="1" xfId="1" applyNumberFormat="1" applyFont="1" applyBorder="1"/>
    <xf numFmtId="43" fontId="3" fillId="0" borderId="8" xfId="1" applyNumberFormat="1" applyFont="1" applyFill="1" applyBorder="1"/>
    <xf numFmtId="0" fontId="6" fillId="0" borderId="0" xfId="0" applyFont="1"/>
    <xf numFmtId="0" fontId="17" fillId="3" borderId="0" xfId="0" applyFont="1" applyFill="1"/>
    <xf numFmtId="0" fontId="18" fillId="3" borderId="0" xfId="2" applyFont="1" applyFill="1" applyAlignment="1" applyProtection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meshkula@gmail.c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H25"/>
  <sheetViews>
    <sheetView workbookViewId="0">
      <selection activeCell="M17" sqref="M17"/>
    </sheetView>
  </sheetViews>
  <sheetFormatPr defaultRowHeight="15"/>
  <cols>
    <col min="2" max="2" width="2" bestFit="1" customWidth="1"/>
    <col min="3" max="3" width="20.85546875" customWidth="1"/>
  </cols>
  <sheetData>
    <row r="4" spans="2:8" s="9" customFormat="1">
      <c r="B4" s="9" t="s">
        <v>115</v>
      </c>
      <c r="C4" s="69" t="s">
        <v>112</v>
      </c>
      <c r="D4" s="69"/>
      <c r="E4" s="69"/>
      <c r="F4" s="69"/>
      <c r="G4" s="69"/>
      <c r="H4" s="69"/>
    </row>
    <row r="6" spans="2:8" s="9" customFormat="1">
      <c r="B6" s="9" t="s">
        <v>116</v>
      </c>
      <c r="C6" s="9" t="s">
        <v>113</v>
      </c>
    </row>
    <row r="7" spans="2:8">
      <c r="C7" s="4" t="s">
        <v>47</v>
      </c>
      <c r="D7" s="5" t="s">
        <v>48</v>
      </c>
    </row>
    <row r="8" spans="2:8">
      <c r="C8" s="4" t="s">
        <v>49</v>
      </c>
      <c r="D8" s="5" t="s">
        <v>50</v>
      </c>
    </row>
    <row r="9" spans="2:8">
      <c r="C9" s="4" t="s">
        <v>52</v>
      </c>
      <c r="D9" s="5" t="s">
        <v>53</v>
      </c>
    </row>
    <row r="10" spans="2:8">
      <c r="C10" s="4" t="s">
        <v>114</v>
      </c>
      <c r="D10" s="5" t="s">
        <v>55</v>
      </c>
    </row>
    <row r="12" spans="2:8">
      <c r="B12" s="9" t="s">
        <v>117</v>
      </c>
      <c r="C12" s="70" t="s">
        <v>118</v>
      </c>
    </row>
    <row r="14" spans="2:8">
      <c r="B14" s="9" t="s">
        <v>119</v>
      </c>
      <c r="C14" s="9" t="s">
        <v>120</v>
      </c>
    </row>
    <row r="16" spans="2:8">
      <c r="B16" s="9" t="s">
        <v>121</v>
      </c>
      <c r="C16" s="9" t="s">
        <v>122</v>
      </c>
    </row>
    <row r="18" spans="2:6">
      <c r="B18" s="9" t="s">
        <v>123</v>
      </c>
      <c r="C18" s="9" t="s">
        <v>124</v>
      </c>
    </row>
    <row r="20" spans="2:6">
      <c r="B20" s="9" t="s">
        <v>189</v>
      </c>
      <c r="C20" s="9" t="s">
        <v>190</v>
      </c>
    </row>
    <row r="23" spans="2:6">
      <c r="C23" s="126" t="s">
        <v>193</v>
      </c>
      <c r="D23" s="126" t="s">
        <v>194</v>
      </c>
      <c r="E23" s="126"/>
      <c r="F23" s="126"/>
    </row>
    <row r="24" spans="2:6">
      <c r="C24" s="126" t="s">
        <v>195</v>
      </c>
      <c r="D24" s="127" t="s">
        <v>196</v>
      </c>
      <c r="E24" s="126"/>
      <c r="F24" s="126"/>
    </row>
    <row r="25" spans="2:6">
      <c r="C25" s="125"/>
      <c r="D25" s="125"/>
      <c r="E25" s="125"/>
      <c r="F25" s="125"/>
    </row>
  </sheetData>
  <hyperlinks>
    <hyperlink ref="D2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47"/>
  <sheetViews>
    <sheetView topLeftCell="B1" workbookViewId="0">
      <selection activeCell="B1" sqref="B1"/>
    </sheetView>
  </sheetViews>
  <sheetFormatPr defaultRowHeight="15"/>
  <cols>
    <col min="1" max="1" width="5.85546875" bestFit="1" customWidth="1"/>
    <col min="2" max="2" width="7.85546875" bestFit="1" customWidth="1"/>
    <col min="3" max="3" width="24.28515625" bestFit="1" customWidth="1"/>
    <col min="4" max="4" width="21" bestFit="1" customWidth="1"/>
    <col min="5" max="5" width="16" customWidth="1"/>
    <col min="6" max="35" width="3.85546875" customWidth="1"/>
    <col min="36" max="36" width="3.85546875" style="44" customWidth="1"/>
    <col min="37" max="41" width="9.140625" style="1"/>
    <col min="42" max="42" width="5.5703125" style="95" customWidth="1"/>
  </cols>
  <sheetData>
    <row r="1" spans="1:42" s="9" customFormat="1">
      <c r="E1" s="2" t="s">
        <v>45</v>
      </c>
      <c r="F1" s="20" t="s">
        <v>110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71"/>
      <c r="AK1" s="3"/>
      <c r="AL1" s="3"/>
      <c r="AM1" s="3"/>
      <c r="AN1" s="3"/>
      <c r="AO1" s="3"/>
      <c r="AP1" s="94"/>
    </row>
    <row r="2" spans="1:42" s="9" customFormat="1">
      <c r="E2" s="2" t="s">
        <v>46</v>
      </c>
      <c r="F2" s="57">
        <v>43344</v>
      </c>
      <c r="G2" s="20"/>
      <c r="H2" s="20"/>
      <c r="I2" s="9" t="s">
        <v>75</v>
      </c>
      <c r="O2" s="58" t="s">
        <v>111</v>
      </c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60"/>
      <c r="AJ2" s="72"/>
      <c r="AK2" s="3"/>
      <c r="AL2" s="3"/>
      <c r="AM2" s="3"/>
      <c r="AN2" s="3"/>
      <c r="AO2" s="3"/>
      <c r="AP2" s="94"/>
    </row>
    <row r="3" spans="1:42">
      <c r="E3" s="4" t="s">
        <v>47</v>
      </c>
      <c r="F3" s="10" t="s">
        <v>48</v>
      </c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3"/>
      <c r="AJ3" s="72"/>
    </row>
    <row r="4" spans="1:42">
      <c r="E4" s="4" t="s">
        <v>49</v>
      </c>
      <c r="F4" s="5" t="s">
        <v>50</v>
      </c>
    </row>
    <row r="5" spans="1:42">
      <c r="E5" s="4" t="s">
        <v>52</v>
      </c>
      <c r="F5" s="5" t="s">
        <v>53</v>
      </c>
    </row>
    <row r="6" spans="1:42">
      <c r="E6" s="6" t="s">
        <v>54</v>
      </c>
      <c r="F6" s="7" t="s">
        <v>55</v>
      </c>
    </row>
    <row r="7" spans="1:42" s="14" customFormat="1" ht="30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3">
        <v>1</v>
      </c>
      <c r="G7" s="11">
        <v>2</v>
      </c>
      <c r="H7" s="11">
        <v>3</v>
      </c>
      <c r="I7" s="11">
        <v>4</v>
      </c>
      <c r="J7" s="11">
        <v>5</v>
      </c>
      <c r="K7" s="11">
        <v>6</v>
      </c>
      <c r="L7" s="11">
        <v>7</v>
      </c>
      <c r="M7" s="11">
        <v>8</v>
      </c>
      <c r="N7" s="11">
        <v>9</v>
      </c>
      <c r="O7" s="11">
        <v>10</v>
      </c>
      <c r="P7" s="11">
        <v>11</v>
      </c>
      <c r="Q7" s="11">
        <v>12</v>
      </c>
      <c r="R7" s="11">
        <v>13</v>
      </c>
      <c r="S7" s="11">
        <v>14</v>
      </c>
      <c r="T7" s="11">
        <v>15</v>
      </c>
      <c r="U7" s="11">
        <v>16</v>
      </c>
      <c r="V7" s="11">
        <v>17</v>
      </c>
      <c r="W7" s="11">
        <v>18</v>
      </c>
      <c r="X7" s="11">
        <v>19</v>
      </c>
      <c r="Y7" s="11">
        <v>20</v>
      </c>
      <c r="Z7" s="11">
        <v>21</v>
      </c>
      <c r="AA7" s="11">
        <v>22</v>
      </c>
      <c r="AB7" s="11">
        <v>23</v>
      </c>
      <c r="AC7" s="11">
        <v>24</v>
      </c>
      <c r="AD7" s="11">
        <v>25</v>
      </c>
      <c r="AE7" s="11">
        <v>26</v>
      </c>
      <c r="AF7" s="11">
        <v>27</v>
      </c>
      <c r="AG7" s="11">
        <v>28</v>
      </c>
      <c r="AH7" s="11">
        <v>29</v>
      </c>
      <c r="AI7" s="11">
        <v>30</v>
      </c>
      <c r="AJ7" s="11">
        <v>31</v>
      </c>
      <c r="AK7" s="11" t="s">
        <v>47</v>
      </c>
      <c r="AL7" s="11" t="s">
        <v>49</v>
      </c>
      <c r="AM7" s="11" t="s">
        <v>52</v>
      </c>
      <c r="AN7" s="11" t="s">
        <v>56</v>
      </c>
      <c r="AO7" s="11" t="s">
        <v>51</v>
      </c>
      <c r="AP7" s="97" t="s">
        <v>125</v>
      </c>
    </row>
    <row r="8" spans="1:42" ht="15" customHeight="1">
      <c r="A8" s="8">
        <v>1</v>
      </c>
      <c r="B8" s="8" t="s">
        <v>5</v>
      </c>
      <c r="C8" s="21" t="s">
        <v>150</v>
      </c>
      <c r="D8" s="21" t="s">
        <v>126</v>
      </c>
      <c r="E8" s="21" t="s">
        <v>127</v>
      </c>
      <c r="F8" s="68" t="s">
        <v>48</v>
      </c>
      <c r="G8" s="15"/>
      <c r="H8" s="68" t="s">
        <v>48</v>
      </c>
      <c r="I8" s="68" t="s">
        <v>48</v>
      </c>
      <c r="J8" s="68" t="s">
        <v>48</v>
      </c>
      <c r="K8" s="68" t="s">
        <v>48</v>
      </c>
      <c r="L8" s="68" t="s">
        <v>48</v>
      </c>
      <c r="M8" s="68" t="s">
        <v>50</v>
      </c>
      <c r="N8" s="15"/>
      <c r="O8" s="68" t="s">
        <v>48</v>
      </c>
      <c r="P8" s="68" t="s">
        <v>48</v>
      </c>
      <c r="Q8" s="68" t="s">
        <v>48</v>
      </c>
      <c r="R8" s="68" t="s">
        <v>48</v>
      </c>
      <c r="S8" s="68" t="s">
        <v>48</v>
      </c>
      <c r="T8" s="68" t="s">
        <v>48</v>
      </c>
      <c r="U8" s="15"/>
      <c r="V8" s="68" t="s">
        <v>48</v>
      </c>
      <c r="W8" s="68" t="s">
        <v>48</v>
      </c>
      <c r="X8" s="68" t="s">
        <v>48</v>
      </c>
      <c r="Y8" s="68" t="s">
        <v>48</v>
      </c>
      <c r="Z8" s="68" t="s">
        <v>48</v>
      </c>
      <c r="AA8" s="68" t="s">
        <v>48</v>
      </c>
      <c r="AB8" s="15"/>
      <c r="AC8" s="68" t="s">
        <v>48</v>
      </c>
      <c r="AD8" s="68" t="s">
        <v>48</v>
      </c>
      <c r="AE8" s="68" t="s">
        <v>48</v>
      </c>
      <c r="AF8" s="68" t="s">
        <v>48</v>
      </c>
      <c r="AG8" s="68" t="s">
        <v>48</v>
      </c>
      <c r="AH8" s="68" t="s">
        <v>48</v>
      </c>
      <c r="AI8" s="15"/>
      <c r="AJ8" s="68"/>
      <c r="AK8" s="12">
        <f>COUNTIF(F8:AJ8,"P")</f>
        <v>24</v>
      </c>
      <c r="AL8" s="12">
        <f>COUNTIF(F8:AJ8,"CL")</f>
        <v>1</v>
      </c>
      <c r="AM8" s="12">
        <f>COUNTIF(F8:AJ8,"A")</f>
        <v>0</v>
      </c>
      <c r="AN8" s="12">
        <f>(COUNTIF(F8:AJ8,"HL")/2)</f>
        <v>0</v>
      </c>
      <c r="AO8" s="12">
        <f>+AK8+AL8-AM8-AN8</f>
        <v>25</v>
      </c>
      <c r="AP8" s="96">
        <f>COUNTA(F8:AJ8)</f>
        <v>25</v>
      </c>
    </row>
    <row r="9" spans="1:42">
      <c r="A9" s="8">
        <v>2</v>
      </c>
      <c r="B9" s="8" t="s">
        <v>6</v>
      </c>
      <c r="C9" s="21" t="s">
        <v>151</v>
      </c>
      <c r="D9" s="21" t="s">
        <v>128</v>
      </c>
      <c r="E9" s="21" t="s">
        <v>129</v>
      </c>
      <c r="F9" s="68" t="s">
        <v>48</v>
      </c>
      <c r="G9" s="16"/>
      <c r="H9" s="68" t="s">
        <v>48</v>
      </c>
      <c r="I9" s="68" t="s">
        <v>48</v>
      </c>
      <c r="J9" s="68" t="s">
        <v>48</v>
      </c>
      <c r="K9" s="68" t="s">
        <v>48</v>
      </c>
      <c r="L9" s="68" t="s">
        <v>48</v>
      </c>
      <c r="M9" s="68" t="s">
        <v>48</v>
      </c>
      <c r="N9" s="16"/>
      <c r="O9" s="68" t="s">
        <v>48</v>
      </c>
      <c r="P9" s="68" t="s">
        <v>48</v>
      </c>
      <c r="Q9" s="68" t="s">
        <v>48</v>
      </c>
      <c r="R9" s="68" t="s">
        <v>48</v>
      </c>
      <c r="S9" s="68" t="s">
        <v>48</v>
      </c>
      <c r="T9" s="68" t="s">
        <v>48</v>
      </c>
      <c r="U9" s="16"/>
      <c r="V9" s="68" t="s">
        <v>48</v>
      </c>
      <c r="W9" s="68" t="s">
        <v>48</v>
      </c>
      <c r="X9" s="68" t="s">
        <v>48</v>
      </c>
      <c r="Y9" s="68" t="s">
        <v>48</v>
      </c>
      <c r="Z9" s="68" t="s">
        <v>48</v>
      </c>
      <c r="AA9" s="68" t="s">
        <v>48</v>
      </c>
      <c r="AB9" s="16"/>
      <c r="AC9" s="68" t="s">
        <v>48</v>
      </c>
      <c r="AD9" s="68" t="s">
        <v>48</v>
      </c>
      <c r="AE9" s="68" t="s">
        <v>48</v>
      </c>
      <c r="AF9" s="68" t="s">
        <v>55</v>
      </c>
      <c r="AG9" s="68" t="s">
        <v>48</v>
      </c>
      <c r="AH9" s="68" t="s">
        <v>48</v>
      </c>
      <c r="AI9" s="16"/>
      <c r="AJ9" s="68"/>
      <c r="AK9" s="12">
        <f t="shared" ref="AK9:AK47" si="0">COUNTIF(F9:AJ9,"P")</f>
        <v>24</v>
      </c>
      <c r="AL9" s="12">
        <f t="shared" ref="AL9:AL47" si="1">COUNTIF(F9:AJ9,"CL")</f>
        <v>0</v>
      </c>
      <c r="AM9" s="12">
        <f t="shared" ref="AM9:AM47" si="2">COUNTIF(F9:AJ9,"A")</f>
        <v>0</v>
      </c>
      <c r="AN9" s="12">
        <f t="shared" ref="AN9:AN47" si="3">(COUNTIF(F9:AJ9,"HL")/2)</f>
        <v>0.5</v>
      </c>
      <c r="AO9" s="12">
        <f t="shared" ref="AO9:AO47" si="4">+AK9+AL9-AM9-AN9</f>
        <v>23.5</v>
      </c>
      <c r="AP9" s="96">
        <f t="shared" ref="AP9:AP47" si="5">COUNTA(F9:AJ9)</f>
        <v>25</v>
      </c>
    </row>
    <row r="10" spans="1:42">
      <c r="A10" s="8">
        <v>3</v>
      </c>
      <c r="B10" s="8" t="s">
        <v>7</v>
      </c>
      <c r="C10" s="21" t="s">
        <v>152</v>
      </c>
      <c r="D10" s="21" t="s">
        <v>130</v>
      </c>
      <c r="E10" s="21" t="s">
        <v>129</v>
      </c>
      <c r="F10" s="68" t="s">
        <v>48</v>
      </c>
      <c r="G10" s="16"/>
      <c r="H10" s="68" t="s">
        <v>48</v>
      </c>
      <c r="I10" s="68" t="s">
        <v>48</v>
      </c>
      <c r="J10" s="68" t="s">
        <v>48</v>
      </c>
      <c r="K10" s="68" t="s">
        <v>48</v>
      </c>
      <c r="L10" s="68" t="s">
        <v>48</v>
      </c>
      <c r="M10" s="68" t="s">
        <v>48</v>
      </c>
      <c r="N10" s="16"/>
      <c r="O10" s="68" t="s">
        <v>48</v>
      </c>
      <c r="P10" s="68" t="s">
        <v>48</v>
      </c>
      <c r="Q10" s="68" t="s">
        <v>48</v>
      </c>
      <c r="R10" s="68" t="s">
        <v>48</v>
      </c>
      <c r="S10" s="68" t="s">
        <v>48</v>
      </c>
      <c r="T10" s="68" t="s">
        <v>50</v>
      </c>
      <c r="U10" s="16"/>
      <c r="V10" s="68" t="s">
        <v>53</v>
      </c>
      <c r="W10" s="68" t="s">
        <v>48</v>
      </c>
      <c r="X10" s="68" t="s">
        <v>48</v>
      </c>
      <c r="Y10" s="68" t="s">
        <v>48</v>
      </c>
      <c r="Z10" s="68" t="s">
        <v>48</v>
      </c>
      <c r="AA10" s="68" t="s">
        <v>48</v>
      </c>
      <c r="AB10" s="16"/>
      <c r="AC10" s="68" t="s">
        <v>48</v>
      </c>
      <c r="AD10" s="68" t="s">
        <v>48</v>
      </c>
      <c r="AE10" s="68" t="s">
        <v>48</v>
      </c>
      <c r="AF10" s="68" t="s">
        <v>48</v>
      </c>
      <c r="AG10" s="68" t="s">
        <v>48</v>
      </c>
      <c r="AH10" s="68" t="s">
        <v>48</v>
      </c>
      <c r="AI10" s="16"/>
      <c r="AJ10" s="68"/>
      <c r="AK10" s="12">
        <f t="shared" si="0"/>
        <v>23</v>
      </c>
      <c r="AL10" s="12">
        <f t="shared" si="1"/>
        <v>1</v>
      </c>
      <c r="AM10" s="12">
        <f t="shared" si="2"/>
        <v>1</v>
      </c>
      <c r="AN10" s="12">
        <f t="shared" si="3"/>
        <v>0</v>
      </c>
      <c r="AO10" s="12">
        <f t="shared" si="4"/>
        <v>23</v>
      </c>
      <c r="AP10" s="96">
        <f t="shared" si="5"/>
        <v>25</v>
      </c>
    </row>
    <row r="11" spans="1:42">
      <c r="A11" s="8">
        <v>4</v>
      </c>
      <c r="B11" s="8" t="s">
        <v>8</v>
      </c>
      <c r="C11" s="21" t="s">
        <v>153</v>
      </c>
      <c r="D11" s="21" t="s">
        <v>131</v>
      </c>
      <c r="E11" s="21" t="s">
        <v>129</v>
      </c>
      <c r="F11" s="68" t="s">
        <v>48</v>
      </c>
      <c r="G11" s="16"/>
      <c r="H11" s="68" t="s">
        <v>48</v>
      </c>
      <c r="I11" s="68" t="s">
        <v>48</v>
      </c>
      <c r="J11" s="68" t="s">
        <v>48</v>
      </c>
      <c r="K11" s="68" t="s">
        <v>48</v>
      </c>
      <c r="L11" s="68" t="s">
        <v>48</v>
      </c>
      <c r="M11" s="68" t="s">
        <v>48</v>
      </c>
      <c r="N11" s="16"/>
      <c r="O11" s="68" t="s">
        <v>48</v>
      </c>
      <c r="P11" s="68" t="s">
        <v>48</v>
      </c>
      <c r="Q11" s="68" t="s">
        <v>48</v>
      </c>
      <c r="R11" s="68" t="s">
        <v>48</v>
      </c>
      <c r="S11" s="68" t="s">
        <v>48</v>
      </c>
      <c r="T11" s="68" t="s">
        <v>48</v>
      </c>
      <c r="U11" s="16"/>
      <c r="V11" s="68" t="s">
        <v>48</v>
      </c>
      <c r="W11" s="68" t="s">
        <v>48</v>
      </c>
      <c r="X11" s="68" t="s">
        <v>48</v>
      </c>
      <c r="Y11" s="68" t="s">
        <v>48</v>
      </c>
      <c r="Z11" s="68" t="s">
        <v>48</v>
      </c>
      <c r="AA11" s="68" t="s">
        <v>50</v>
      </c>
      <c r="AB11" s="16"/>
      <c r="AC11" s="68" t="s">
        <v>48</v>
      </c>
      <c r="AD11" s="68" t="s">
        <v>48</v>
      </c>
      <c r="AE11" s="68" t="s">
        <v>48</v>
      </c>
      <c r="AF11" s="68" t="s">
        <v>48</v>
      </c>
      <c r="AG11" s="68" t="s">
        <v>48</v>
      </c>
      <c r="AH11" s="68" t="s">
        <v>48</v>
      </c>
      <c r="AI11" s="16"/>
      <c r="AJ11" s="68"/>
      <c r="AK11" s="12">
        <f t="shared" si="0"/>
        <v>24</v>
      </c>
      <c r="AL11" s="12">
        <f t="shared" si="1"/>
        <v>1</v>
      </c>
      <c r="AM11" s="12">
        <f t="shared" si="2"/>
        <v>0</v>
      </c>
      <c r="AN11" s="12">
        <f t="shared" si="3"/>
        <v>0</v>
      </c>
      <c r="AO11" s="12">
        <f t="shared" si="4"/>
        <v>25</v>
      </c>
      <c r="AP11" s="96">
        <f t="shared" si="5"/>
        <v>25</v>
      </c>
    </row>
    <row r="12" spans="1:42">
      <c r="A12" s="8">
        <v>5</v>
      </c>
      <c r="B12" s="8" t="s">
        <v>9</v>
      </c>
      <c r="C12" s="21" t="s">
        <v>154</v>
      </c>
      <c r="D12" s="21" t="s">
        <v>132</v>
      </c>
      <c r="E12" s="21" t="s">
        <v>129</v>
      </c>
      <c r="F12" s="68" t="s">
        <v>50</v>
      </c>
      <c r="G12" s="16"/>
      <c r="H12" s="68" t="s">
        <v>48</v>
      </c>
      <c r="I12" s="68" t="s">
        <v>48</v>
      </c>
      <c r="J12" s="68" t="s">
        <v>48</v>
      </c>
      <c r="K12" s="68" t="s">
        <v>48</v>
      </c>
      <c r="L12" s="68" t="s">
        <v>48</v>
      </c>
      <c r="M12" s="68" t="s">
        <v>48</v>
      </c>
      <c r="N12" s="16"/>
      <c r="O12" s="68" t="s">
        <v>48</v>
      </c>
      <c r="P12" s="68" t="s">
        <v>48</v>
      </c>
      <c r="Q12" s="68" t="s">
        <v>48</v>
      </c>
      <c r="R12" s="68" t="s">
        <v>48</v>
      </c>
      <c r="S12" s="68" t="s">
        <v>48</v>
      </c>
      <c r="T12" s="68" t="s">
        <v>48</v>
      </c>
      <c r="U12" s="16"/>
      <c r="V12" s="68" t="s">
        <v>48</v>
      </c>
      <c r="W12" s="68" t="s">
        <v>48</v>
      </c>
      <c r="X12" s="68" t="s">
        <v>48</v>
      </c>
      <c r="Y12" s="68" t="s">
        <v>48</v>
      </c>
      <c r="Z12" s="68" t="s">
        <v>48</v>
      </c>
      <c r="AA12" s="68" t="s">
        <v>48</v>
      </c>
      <c r="AB12" s="16"/>
      <c r="AC12" s="68" t="s">
        <v>48</v>
      </c>
      <c r="AD12" s="68" t="s">
        <v>48</v>
      </c>
      <c r="AE12" s="68" t="s">
        <v>48</v>
      </c>
      <c r="AF12" s="68" t="s">
        <v>48</v>
      </c>
      <c r="AG12" s="68" t="s">
        <v>48</v>
      </c>
      <c r="AH12" s="68" t="s">
        <v>48</v>
      </c>
      <c r="AI12" s="16"/>
      <c r="AJ12" s="68"/>
      <c r="AK12" s="12">
        <f t="shared" si="0"/>
        <v>24</v>
      </c>
      <c r="AL12" s="12">
        <f t="shared" si="1"/>
        <v>1</v>
      </c>
      <c r="AM12" s="12">
        <f t="shared" si="2"/>
        <v>0</v>
      </c>
      <c r="AN12" s="12">
        <f t="shared" si="3"/>
        <v>0</v>
      </c>
      <c r="AO12" s="12">
        <f t="shared" si="4"/>
        <v>25</v>
      </c>
      <c r="AP12" s="96">
        <f t="shared" si="5"/>
        <v>25</v>
      </c>
    </row>
    <row r="13" spans="1:42">
      <c r="A13" s="8">
        <v>6</v>
      </c>
      <c r="B13" s="8" t="s">
        <v>10</v>
      </c>
      <c r="C13" s="21" t="s">
        <v>155</v>
      </c>
      <c r="D13" s="21" t="s">
        <v>133</v>
      </c>
      <c r="E13" s="21" t="s">
        <v>129</v>
      </c>
      <c r="F13" s="68" t="s">
        <v>48</v>
      </c>
      <c r="G13" s="16"/>
      <c r="H13" s="68" t="s">
        <v>48</v>
      </c>
      <c r="I13" s="68" t="s">
        <v>48</v>
      </c>
      <c r="J13" s="68" t="s">
        <v>48</v>
      </c>
      <c r="K13" s="68" t="s">
        <v>48</v>
      </c>
      <c r="L13" s="68" t="s">
        <v>48</v>
      </c>
      <c r="M13" s="68" t="s">
        <v>48</v>
      </c>
      <c r="N13" s="16"/>
      <c r="O13" s="68" t="s">
        <v>48</v>
      </c>
      <c r="P13" s="68" t="s">
        <v>48</v>
      </c>
      <c r="Q13" s="68" t="s">
        <v>48</v>
      </c>
      <c r="R13" s="68" t="s">
        <v>48</v>
      </c>
      <c r="S13" s="68" t="s">
        <v>48</v>
      </c>
      <c r="T13" s="68" t="s">
        <v>48</v>
      </c>
      <c r="U13" s="16"/>
      <c r="V13" s="68" t="s">
        <v>48</v>
      </c>
      <c r="W13" s="68" t="s">
        <v>48</v>
      </c>
      <c r="X13" s="68" t="s">
        <v>48</v>
      </c>
      <c r="Y13" s="68" t="s">
        <v>48</v>
      </c>
      <c r="Z13" s="68" t="s">
        <v>48</v>
      </c>
      <c r="AA13" s="68" t="s">
        <v>48</v>
      </c>
      <c r="AB13" s="16"/>
      <c r="AC13" s="68" t="s">
        <v>48</v>
      </c>
      <c r="AD13" s="68" t="s">
        <v>53</v>
      </c>
      <c r="AE13" s="68" t="s">
        <v>48</v>
      </c>
      <c r="AF13" s="68" t="s">
        <v>48</v>
      </c>
      <c r="AG13" s="68" t="s">
        <v>48</v>
      </c>
      <c r="AH13" s="68" t="s">
        <v>48</v>
      </c>
      <c r="AI13" s="16"/>
      <c r="AJ13" s="68"/>
      <c r="AK13" s="12">
        <f t="shared" si="0"/>
        <v>24</v>
      </c>
      <c r="AL13" s="12">
        <f t="shared" si="1"/>
        <v>0</v>
      </c>
      <c r="AM13" s="12">
        <f t="shared" si="2"/>
        <v>1</v>
      </c>
      <c r="AN13" s="12">
        <f t="shared" si="3"/>
        <v>0</v>
      </c>
      <c r="AO13" s="12">
        <f t="shared" si="4"/>
        <v>23</v>
      </c>
      <c r="AP13" s="96">
        <f t="shared" si="5"/>
        <v>25</v>
      </c>
    </row>
    <row r="14" spans="1:42">
      <c r="A14" s="8">
        <v>7</v>
      </c>
      <c r="B14" s="8" t="s">
        <v>11</v>
      </c>
      <c r="C14" s="21" t="s">
        <v>156</v>
      </c>
      <c r="D14" s="21" t="s">
        <v>132</v>
      </c>
      <c r="E14" s="21" t="s">
        <v>129</v>
      </c>
      <c r="F14" s="68" t="s">
        <v>48</v>
      </c>
      <c r="G14" s="16"/>
      <c r="H14" s="68" t="s">
        <v>48</v>
      </c>
      <c r="I14" s="68" t="s">
        <v>48</v>
      </c>
      <c r="J14" s="68" t="s">
        <v>48</v>
      </c>
      <c r="K14" s="68" t="s">
        <v>48</v>
      </c>
      <c r="L14" s="68" t="s">
        <v>48</v>
      </c>
      <c r="M14" s="68" t="s">
        <v>48</v>
      </c>
      <c r="N14" s="16"/>
      <c r="O14" s="68" t="s">
        <v>48</v>
      </c>
      <c r="P14" s="68" t="s">
        <v>48</v>
      </c>
      <c r="Q14" s="68" t="s">
        <v>48</v>
      </c>
      <c r="R14" s="68" t="s">
        <v>48</v>
      </c>
      <c r="S14" s="68" t="s">
        <v>48</v>
      </c>
      <c r="T14" s="68" t="s">
        <v>48</v>
      </c>
      <c r="U14" s="16"/>
      <c r="V14" s="68" t="s">
        <v>48</v>
      </c>
      <c r="W14" s="68" t="s">
        <v>48</v>
      </c>
      <c r="X14" s="68" t="s">
        <v>48</v>
      </c>
      <c r="Y14" s="68" t="s">
        <v>48</v>
      </c>
      <c r="Z14" s="68" t="s">
        <v>48</v>
      </c>
      <c r="AA14" s="68" t="s">
        <v>48</v>
      </c>
      <c r="AB14" s="16"/>
      <c r="AC14" s="68" t="s">
        <v>48</v>
      </c>
      <c r="AD14" s="68" t="s">
        <v>48</v>
      </c>
      <c r="AE14" s="68" t="s">
        <v>48</v>
      </c>
      <c r="AF14" s="68" t="s">
        <v>48</v>
      </c>
      <c r="AG14" s="68" t="s">
        <v>48</v>
      </c>
      <c r="AH14" s="68" t="s">
        <v>48</v>
      </c>
      <c r="AI14" s="16"/>
      <c r="AJ14" s="68"/>
      <c r="AK14" s="12">
        <f t="shared" si="0"/>
        <v>25</v>
      </c>
      <c r="AL14" s="12">
        <f t="shared" si="1"/>
        <v>0</v>
      </c>
      <c r="AM14" s="12">
        <f t="shared" si="2"/>
        <v>0</v>
      </c>
      <c r="AN14" s="12">
        <f t="shared" si="3"/>
        <v>0</v>
      </c>
      <c r="AO14" s="12">
        <f t="shared" si="4"/>
        <v>25</v>
      </c>
      <c r="AP14" s="96">
        <f t="shared" si="5"/>
        <v>25</v>
      </c>
    </row>
    <row r="15" spans="1:42">
      <c r="A15" s="8">
        <v>8</v>
      </c>
      <c r="B15" s="8" t="s">
        <v>12</v>
      </c>
      <c r="C15" s="21" t="s">
        <v>157</v>
      </c>
      <c r="D15" s="21" t="s">
        <v>133</v>
      </c>
      <c r="E15" s="21" t="s">
        <v>129</v>
      </c>
      <c r="F15" s="68" t="s">
        <v>53</v>
      </c>
      <c r="G15" s="16"/>
      <c r="H15" s="68" t="s">
        <v>48</v>
      </c>
      <c r="I15" s="68" t="s">
        <v>48</v>
      </c>
      <c r="J15" s="68" t="s">
        <v>48</v>
      </c>
      <c r="K15" s="68" t="s">
        <v>48</v>
      </c>
      <c r="L15" s="68" t="s">
        <v>48</v>
      </c>
      <c r="M15" s="68" t="s">
        <v>48</v>
      </c>
      <c r="N15" s="16"/>
      <c r="O15" s="68" t="s">
        <v>48</v>
      </c>
      <c r="P15" s="68" t="s">
        <v>48</v>
      </c>
      <c r="Q15" s="68" t="s">
        <v>48</v>
      </c>
      <c r="R15" s="68" t="s">
        <v>48</v>
      </c>
      <c r="S15" s="68" t="s">
        <v>48</v>
      </c>
      <c r="T15" s="68" t="s">
        <v>48</v>
      </c>
      <c r="U15" s="16"/>
      <c r="V15" s="68" t="s">
        <v>48</v>
      </c>
      <c r="W15" s="68" t="s">
        <v>48</v>
      </c>
      <c r="X15" s="68" t="s">
        <v>48</v>
      </c>
      <c r="Y15" s="68" t="s">
        <v>48</v>
      </c>
      <c r="Z15" s="68" t="s">
        <v>48</v>
      </c>
      <c r="AA15" s="68" t="s">
        <v>48</v>
      </c>
      <c r="AB15" s="16"/>
      <c r="AC15" s="68" t="s">
        <v>48</v>
      </c>
      <c r="AD15" s="68" t="s">
        <v>48</v>
      </c>
      <c r="AE15" s="68" t="s">
        <v>48</v>
      </c>
      <c r="AF15" s="68" t="s">
        <v>48</v>
      </c>
      <c r="AG15" s="68" t="s">
        <v>48</v>
      </c>
      <c r="AH15" s="68" t="s">
        <v>48</v>
      </c>
      <c r="AI15" s="16"/>
      <c r="AJ15" s="68"/>
      <c r="AK15" s="12">
        <f t="shared" si="0"/>
        <v>24</v>
      </c>
      <c r="AL15" s="12">
        <f t="shared" si="1"/>
        <v>0</v>
      </c>
      <c r="AM15" s="12">
        <f t="shared" si="2"/>
        <v>1</v>
      </c>
      <c r="AN15" s="12">
        <f t="shared" si="3"/>
        <v>0</v>
      </c>
      <c r="AO15" s="12">
        <f t="shared" si="4"/>
        <v>23</v>
      </c>
      <c r="AP15" s="96">
        <f t="shared" si="5"/>
        <v>25</v>
      </c>
    </row>
    <row r="16" spans="1:42">
      <c r="A16" s="8">
        <v>9</v>
      </c>
      <c r="B16" s="8" t="s">
        <v>13</v>
      </c>
      <c r="C16" s="21" t="s">
        <v>158</v>
      </c>
      <c r="D16" s="21" t="s">
        <v>135</v>
      </c>
      <c r="E16" s="21" t="s">
        <v>129</v>
      </c>
      <c r="F16" s="68" t="s">
        <v>48</v>
      </c>
      <c r="G16" s="16"/>
      <c r="H16" s="68" t="s">
        <v>48</v>
      </c>
      <c r="I16" s="68" t="s">
        <v>48</v>
      </c>
      <c r="J16" s="68" t="s">
        <v>48</v>
      </c>
      <c r="K16" s="68" t="s">
        <v>48</v>
      </c>
      <c r="L16" s="68" t="s">
        <v>48</v>
      </c>
      <c r="M16" s="68" t="s">
        <v>48</v>
      </c>
      <c r="N16" s="16"/>
      <c r="O16" s="68" t="s">
        <v>48</v>
      </c>
      <c r="P16" s="68" t="s">
        <v>48</v>
      </c>
      <c r="Q16" s="68" t="s">
        <v>48</v>
      </c>
      <c r="R16" s="68" t="s">
        <v>48</v>
      </c>
      <c r="S16" s="68" t="s">
        <v>48</v>
      </c>
      <c r="T16" s="68" t="s">
        <v>48</v>
      </c>
      <c r="U16" s="16"/>
      <c r="V16" s="68" t="s">
        <v>48</v>
      </c>
      <c r="W16" s="68" t="s">
        <v>48</v>
      </c>
      <c r="X16" s="68" t="s">
        <v>48</v>
      </c>
      <c r="Y16" s="68" t="s">
        <v>48</v>
      </c>
      <c r="Z16" s="68" t="s">
        <v>48</v>
      </c>
      <c r="AA16" s="68" t="s">
        <v>48</v>
      </c>
      <c r="AB16" s="16"/>
      <c r="AC16" s="68" t="s">
        <v>48</v>
      </c>
      <c r="AD16" s="68" t="s">
        <v>50</v>
      </c>
      <c r="AE16" s="68" t="s">
        <v>48</v>
      </c>
      <c r="AF16" s="68" t="s">
        <v>48</v>
      </c>
      <c r="AG16" s="68" t="s">
        <v>48</v>
      </c>
      <c r="AH16" s="68" t="s">
        <v>48</v>
      </c>
      <c r="AI16" s="16"/>
      <c r="AJ16" s="68"/>
      <c r="AK16" s="12">
        <f t="shared" si="0"/>
        <v>24</v>
      </c>
      <c r="AL16" s="12">
        <f t="shared" si="1"/>
        <v>1</v>
      </c>
      <c r="AM16" s="12">
        <f t="shared" si="2"/>
        <v>0</v>
      </c>
      <c r="AN16" s="12">
        <f t="shared" si="3"/>
        <v>0</v>
      </c>
      <c r="AO16" s="12">
        <f t="shared" si="4"/>
        <v>25</v>
      </c>
      <c r="AP16" s="96">
        <f t="shared" si="5"/>
        <v>25</v>
      </c>
    </row>
    <row r="17" spans="1:42">
      <c r="A17" s="8">
        <v>10</v>
      </c>
      <c r="B17" s="8" t="s">
        <v>14</v>
      </c>
      <c r="C17" s="21" t="s">
        <v>159</v>
      </c>
      <c r="D17" s="21" t="s">
        <v>134</v>
      </c>
      <c r="E17" s="21" t="s">
        <v>129</v>
      </c>
      <c r="F17" s="68" t="s">
        <v>48</v>
      </c>
      <c r="G17" s="16"/>
      <c r="H17" s="68" t="s">
        <v>48</v>
      </c>
      <c r="I17" s="68" t="s">
        <v>48</v>
      </c>
      <c r="J17" s="68" t="s">
        <v>48</v>
      </c>
      <c r="K17" s="68" t="s">
        <v>48</v>
      </c>
      <c r="L17" s="68" t="s">
        <v>48</v>
      </c>
      <c r="M17" s="68" t="s">
        <v>48</v>
      </c>
      <c r="N17" s="16"/>
      <c r="O17" s="68" t="s">
        <v>48</v>
      </c>
      <c r="P17" s="68" t="s">
        <v>48</v>
      </c>
      <c r="Q17" s="68" t="s">
        <v>48</v>
      </c>
      <c r="R17" s="68" t="s">
        <v>48</v>
      </c>
      <c r="S17" s="68" t="s">
        <v>48</v>
      </c>
      <c r="T17" s="68" t="s">
        <v>48</v>
      </c>
      <c r="U17" s="16"/>
      <c r="V17" s="68" t="s">
        <v>48</v>
      </c>
      <c r="W17" s="68" t="s">
        <v>48</v>
      </c>
      <c r="X17" s="68" t="s">
        <v>48</v>
      </c>
      <c r="Y17" s="68" t="s">
        <v>48</v>
      </c>
      <c r="Z17" s="68" t="s">
        <v>48</v>
      </c>
      <c r="AA17" s="68" t="s">
        <v>48</v>
      </c>
      <c r="AB17" s="16"/>
      <c r="AC17" s="68" t="s">
        <v>48</v>
      </c>
      <c r="AD17" s="68" t="s">
        <v>48</v>
      </c>
      <c r="AE17" s="68" t="s">
        <v>48</v>
      </c>
      <c r="AF17" s="68" t="s">
        <v>48</v>
      </c>
      <c r="AG17" s="68" t="s">
        <v>48</v>
      </c>
      <c r="AH17" s="68" t="s">
        <v>48</v>
      </c>
      <c r="AI17" s="16"/>
      <c r="AJ17" s="68"/>
      <c r="AK17" s="12">
        <f t="shared" si="0"/>
        <v>25</v>
      </c>
      <c r="AL17" s="12">
        <f t="shared" si="1"/>
        <v>0</v>
      </c>
      <c r="AM17" s="12">
        <f t="shared" si="2"/>
        <v>0</v>
      </c>
      <c r="AN17" s="12">
        <f t="shared" si="3"/>
        <v>0</v>
      </c>
      <c r="AO17" s="12">
        <f t="shared" si="4"/>
        <v>25</v>
      </c>
      <c r="AP17" s="96">
        <f t="shared" si="5"/>
        <v>25</v>
      </c>
    </row>
    <row r="18" spans="1:42">
      <c r="A18" s="8">
        <v>11</v>
      </c>
      <c r="B18" s="8" t="s">
        <v>15</v>
      </c>
      <c r="C18" s="21" t="s">
        <v>160</v>
      </c>
      <c r="D18" s="21" t="s">
        <v>135</v>
      </c>
      <c r="E18" s="21" t="s">
        <v>129</v>
      </c>
      <c r="F18" s="68" t="s">
        <v>48</v>
      </c>
      <c r="G18" s="16"/>
      <c r="H18" s="68" t="s">
        <v>48</v>
      </c>
      <c r="I18" s="68" t="s">
        <v>48</v>
      </c>
      <c r="J18" s="68" t="s">
        <v>48</v>
      </c>
      <c r="K18" s="68" t="s">
        <v>48</v>
      </c>
      <c r="L18" s="68" t="s">
        <v>48</v>
      </c>
      <c r="M18" s="68" t="s">
        <v>48</v>
      </c>
      <c r="N18" s="16"/>
      <c r="O18" s="68" t="s">
        <v>48</v>
      </c>
      <c r="P18" s="68" t="s">
        <v>48</v>
      </c>
      <c r="Q18" s="68" t="s">
        <v>48</v>
      </c>
      <c r="R18" s="68" t="s">
        <v>48</v>
      </c>
      <c r="S18" s="68" t="s">
        <v>48</v>
      </c>
      <c r="T18" s="68" t="s">
        <v>48</v>
      </c>
      <c r="U18" s="16"/>
      <c r="V18" s="68" t="s">
        <v>48</v>
      </c>
      <c r="W18" s="68" t="s">
        <v>48</v>
      </c>
      <c r="X18" s="68" t="s">
        <v>48</v>
      </c>
      <c r="Y18" s="68" t="s">
        <v>48</v>
      </c>
      <c r="Z18" s="68" t="s">
        <v>48</v>
      </c>
      <c r="AA18" s="68" t="s">
        <v>48</v>
      </c>
      <c r="AB18" s="16"/>
      <c r="AC18" s="68" t="s">
        <v>48</v>
      </c>
      <c r="AD18" s="68" t="s">
        <v>48</v>
      </c>
      <c r="AE18" s="68" t="s">
        <v>48</v>
      </c>
      <c r="AF18" s="68" t="s">
        <v>48</v>
      </c>
      <c r="AG18" s="68" t="s">
        <v>48</v>
      </c>
      <c r="AH18" s="68" t="s">
        <v>48</v>
      </c>
      <c r="AI18" s="16"/>
      <c r="AJ18" s="68"/>
      <c r="AK18" s="12">
        <f t="shared" si="0"/>
        <v>25</v>
      </c>
      <c r="AL18" s="12">
        <f t="shared" si="1"/>
        <v>0</v>
      </c>
      <c r="AM18" s="12">
        <f t="shared" si="2"/>
        <v>0</v>
      </c>
      <c r="AN18" s="12">
        <f t="shared" si="3"/>
        <v>0</v>
      </c>
      <c r="AO18" s="12">
        <f t="shared" si="4"/>
        <v>25</v>
      </c>
      <c r="AP18" s="96">
        <f t="shared" si="5"/>
        <v>25</v>
      </c>
    </row>
    <row r="19" spans="1:42">
      <c r="A19" s="8">
        <v>12</v>
      </c>
      <c r="B19" s="8" t="s">
        <v>16</v>
      </c>
      <c r="C19" s="21" t="s">
        <v>182</v>
      </c>
      <c r="D19" s="21" t="s">
        <v>134</v>
      </c>
      <c r="E19" s="21" t="s">
        <v>129</v>
      </c>
      <c r="F19" s="68" t="s">
        <v>55</v>
      </c>
      <c r="G19" s="16"/>
      <c r="H19" s="68" t="s">
        <v>48</v>
      </c>
      <c r="I19" s="68" t="s">
        <v>48</v>
      </c>
      <c r="J19" s="68" t="s">
        <v>48</v>
      </c>
      <c r="K19" s="68" t="s">
        <v>48</v>
      </c>
      <c r="L19" s="68" t="s">
        <v>48</v>
      </c>
      <c r="M19" s="68" t="s">
        <v>48</v>
      </c>
      <c r="N19" s="16"/>
      <c r="O19" s="68" t="s">
        <v>48</v>
      </c>
      <c r="P19" s="68" t="s">
        <v>48</v>
      </c>
      <c r="Q19" s="68" t="s">
        <v>48</v>
      </c>
      <c r="R19" s="68" t="s">
        <v>48</v>
      </c>
      <c r="S19" s="68" t="s">
        <v>48</v>
      </c>
      <c r="T19" s="68" t="s">
        <v>48</v>
      </c>
      <c r="U19" s="16"/>
      <c r="V19" s="68" t="s">
        <v>48</v>
      </c>
      <c r="W19" s="68" t="s">
        <v>48</v>
      </c>
      <c r="X19" s="68" t="s">
        <v>48</v>
      </c>
      <c r="Y19" s="68" t="s">
        <v>48</v>
      </c>
      <c r="Z19" s="68" t="s">
        <v>48</v>
      </c>
      <c r="AA19" s="68" t="s">
        <v>48</v>
      </c>
      <c r="AB19" s="16"/>
      <c r="AC19" s="68" t="s">
        <v>48</v>
      </c>
      <c r="AD19" s="68" t="s">
        <v>48</v>
      </c>
      <c r="AE19" s="68" t="s">
        <v>48</v>
      </c>
      <c r="AF19" s="68" t="s">
        <v>48</v>
      </c>
      <c r="AG19" s="68" t="s">
        <v>48</v>
      </c>
      <c r="AH19" s="68" t="s">
        <v>48</v>
      </c>
      <c r="AI19" s="16"/>
      <c r="AJ19" s="68"/>
      <c r="AK19" s="12">
        <f t="shared" si="0"/>
        <v>24</v>
      </c>
      <c r="AL19" s="12">
        <f t="shared" si="1"/>
        <v>0</v>
      </c>
      <c r="AM19" s="12">
        <f t="shared" si="2"/>
        <v>0</v>
      </c>
      <c r="AN19" s="12">
        <f t="shared" si="3"/>
        <v>0.5</v>
      </c>
      <c r="AO19" s="12">
        <f t="shared" si="4"/>
        <v>23.5</v>
      </c>
      <c r="AP19" s="96">
        <f t="shared" si="5"/>
        <v>25</v>
      </c>
    </row>
    <row r="20" spans="1:42">
      <c r="A20" s="8">
        <v>13</v>
      </c>
      <c r="B20" s="8" t="s">
        <v>17</v>
      </c>
      <c r="C20" s="21" t="s">
        <v>161</v>
      </c>
      <c r="D20" s="21" t="s">
        <v>134</v>
      </c>
      <c r="E20" s="21" t="s">
        <v>129</v>
      </c>
      <c r="F20" s="68" t="s">
        <v>48</v>
      </c>
      <c r="G20" s="16"/>
      <c r="H20" s="68" t="s">
        <v>48</v>
      </c>
      <c r="I20" s="68" t="s">
        <v>48</v>
      </c>
      <c r="J20" s="68" t="s">
        <v>48</v>
      </c>
      <c r="K20" s="68" t="s">
        <v>48</v>
      </c>
      <c r="L20" s="68" t="s">
        <v>48</v>
      </c>
      <c r="M20" s="68" t="s">
        <v>48</v>
      </c>
      <c r="N20" s="16"/>
      <c r="O20" s="68" t="s">
        <v>48</v>
      </c>
      <c r="P20" s="68" t="s">
        <v>48</v>
      </c>
      <c r="Q20" s="68" t="s">
        <v>48</v>
      </c>
      <c r="R20" s="68" t="s">
        <v>48</v>
      </c>
      <c r="S20" s="68" t="s">
        <v>48</v>
      </c>
      <c r="T20" s="68" t="s">
        <v>48</v>
      </c>
      <c r="U20" s="16"/>
      <c r="V20" s="68" t="s">
        <v>48</v>
      </c>
      <c r="W20" s="68" t="s">
        <v>48</v>
      </c>
      <c r="X20" s="68" t="s">
        <v>48</v>
      </c>
      <c r="Y20" s="68" t="s">
        <v>50</v>
      </c>
      <c r="Z20" s="68" t="s">
        <v>48</v>
      </c>
      <c r="AA20" s="68" t="s">
        <v>48</v>
      </c>
      <c r="AB20" s="16"/>
      <c r="AC20" s="68" t="s">
        <v>48</v>
      </c>
      <c r="AD20" s="68" t="s">
        <v>48</v>
      </c>
      <c r="AE20" s="68" t="s">
        <v>48</v>
      </c>
      <c r="AF20" s="68" t="s">
        <v>48</v>
      </c>
      <c r="AG20" s="68" t="s">
        <v>48</v>
      </c>
      <c r="AH20" s="68" t="s">
        <v>48</v>
      </c>
      <c r="AI20" s="16"/>
      <c r="AJ20" s="68"/>
      <c r="AK20" s="12">
        <f t="shared" si="0"/>
        <v>24</v>
      </c>
      <c r="AL20" s="12">
        <f t="shared" si="1"/>
        <v>1</v>
      </c>
      <c r="AM20" s="12">
        <f t="shared" si="2"/>
        <v>0</v>
      </c>
      <c r="AN20" s="12">
        <f t="shared" si="3"/>
        <v>0</v>
      </c>
      <c r="AO20" s="12">
        <f t="shared" si="4"/>
        <v>25</v>
      </c>
      <c r="AP20" s="96">
        <f t="shared" si="5"/>
        <v>25</v>
      </c>
    </row>
    <row r="21" spans="1:42">
      <c r="A21" s="8">
        <v>14</v>
      </c>
      <c r="B21" s="8" t="s">
        <v>18</v>
      </c>
      <c r="C21" s="21" t="s">
        <v>162</v>
      </c>
      <c r="D21" s="21" t="s">
        <v>134</v>
      </c>
      <c r="E21" s="21" t="s">
        <v>129</v>
      </c>
      <c r="F21" s="68" t="s">
        <v>48</v>
      </c>
      <c r="G21" s="16"/>
      <c r="H21" s="68" t="s">
        <v>48</v>
      </c>
      <c r="I21" s="68" t="s">
        <v>48</v>
      </c>
      <c r="J21" s="68" t="s">
        <v>48</v>
      </c>
      <c r="K21" s="68" t="s">
        <v>48</v>
      </c>
      <c r="L21" s="68" t="s">
        <v>48</v>
      </c>
      <c r="M21" s="68" t="s">
        <v>48</v>
      </c>
      <c r="N21" s="16"/>
      <c r="O21" s="68" t="s">
        <v>48</v>
      </c>
      <c r="P21" s="68" t="s">
        <v>48</v>
      </c>
      <c r="Q21" s="68" t="s">
        <v>48</v>
      </c>
      <c r="R21" s="68" t="s">
        <v>48</v>
      </c>
      <c r="S21" s="68" t="s">
        <v>48</v>
      </c>
      <c r="T21" s="68" t="s">
        <v>48</v>
      </c>
      <c r="U21" s="16"/>
      <c r="V21" s="68" t="s">
        <v>48</v>
      </c>
      <c r="W21" s="68" t="s">
        <v>48</v>
      </c>
      <c r="X21" s="68" t="s">
        <v>48</v>
      </c>
      <c r="Y21" s="68" t="s">
        <v>48</v>
      </c>
      <c r="Z21" s="68" t="s">
        <v>48</v>
      </c>
      <c r="AA21" s="68" t="s">
        <v>48</v>
      </c>
      <c r="AB21" s="16"/>
      <c r="AC21" s="68" t="s">
        <v>48</v>
      </c>
      <c r="AD21" s="68" t="s">
        <v>48</v>
      </c>
      <c r="AE21" s="68" t="s">
        <v>48</v>
      </c>
      <c r="AF21" s="68" t="s">
        <v>48</v>
      </c>
      <c r="AG21" s="68" t="s">
        <v>48</v>
      </c>
      <c r="AH21" s="68" t="s">
        <v>48</v>
      </c>
      <c r="AI21" s="16"/>
      <c r="AJ21" s="68"/>
      <c r="AK21" s="12">
        <f t="shared" si="0"/>
        <v>25</v>
      </c>
      <c r="AL21" s="12">
        <f t="shared" si="1"/>
        <v>0</v>
      </c>
      <c r="AM21" s="12">
        <f t="shared" si="2"/>
        <v>0</v>
      </c>
      <c r="AN21" s="12">
        <f t="shared" si="3"/>
        <v>0</v>
      </c>
      <c r="AO21" s="12">
        <f t="shared" si="4"/>
        <v>25</v>
      </c>
      <c r="AP21" s="96">
        <f t="shared" si="5"/>
        <v>25</v>
      </c>
    </row>
    <row r="22" spans="1:42">
      <c r="A22" s="8">
        <v>15</v>
      </c>
      <c r="B22" s="8" t="s">
        <v>19</v>
      </c>
      <c r="C22" s="21" t="s">
        <v>163</v>
      </c>
      <c r="D22" s="21" t="s">
        <v>135</v>
      </c>
      <c r="E22" s="21" t="s">
        <v>129</v>
      </c>
      <c r="F22" s="68" t="s">
        <v>48</v>
      </c>
      <c r="G22" s="16"/>
      <c r="H22" s="68" t="s">
        <v>48</v>
      </c>
      <c r="I22" s="68" t="s">
        <v>48</v>
      </c>
      <c r="J22" s="68" t="s">
        <v>48</v>
      </c>
      <c r="K22" s="68" t="s">
        <v>48</v>
      </c>
      <c r="L22" s="68" t="s">
        <v>48</v>
      </c>
      <c r="M22" s="68" t="s">
        <v>48</v>
      </c>
      <c r="N22" s="16"/>
      <c r="O22" s="68" t="s">
        <v>48</v>
      </c>
      <c r="P22" s="68" t="s">
        <v>48</v>
      </c>
      <c r="Q22" s="68" t="s">
        <v>48</v>
      </c>
      <c r="R22" s="68" t="s">
        <v>48</v>
      </c>
      <c r="S22" s="68" t="s">
        <v>48</v>
      </c>
      <c r="T22" s="68" t="s">
        <v>48</v>
      </c>
      <c r="U22" s="16"/>
      <c r="V22" s="68" t="s">
        <v>48</v>
      </c>
      <c r="W22" s="68" t="s">
        <v>48</v>
      </c>
      <c r="X22" s="68" t="s">
        <v>48</v>
      </c>
      <c r="Y22" s="68" t="s">
        <v>48</v>
      </c>
      <c r="Z22" s="68" t="s">
        <v>48</v>
      </c>
      <c r="AA22" s="68" t="s">
        <v>48</v>
      </c>
      <c r="AB22" s="16"/>
      <c r="AC22" s="68" t="s">
        <v>48</v>
      </c>
      <c r="AD22" s="68" t="s">
        <v>48</v>
      </c>
      <c r="AE22" s="68" t="s">
        <v>55</v>
      </c>
      <c r="AF22" s="68" t="s">
        <v>48</v>
      </c>
      <c r="AG22" s="68" t="s">
        <v>48</v>
      </c>
      <c r="AH22" s="68" t="s">
        <v>48</v>
      </c>
      <c r="AI22" s="16"/>
      <c r="AJ22" s="68"/>
      <c r="AK22" s="12">
        <f t="shared" si="0"/>
        <v>24</v>
      </c>
      <c r="AL22" s="12">
        <f t="shared" si="1"/>
        <v>0</v>
      </c>
      <c r="AM22" s="12">
        <f t="shared" si="2"/>
        <v>0</v>
      </c>
      <c r="AN22" s="12">
        <f t="shared" si="3"/>
        <v>0.5</v>
      </c>
      <c r="AO22" s="12">
        <f t="shared" si="4"/>
        <v>23.5</v>
      </c>
      <c r="AP22" s="96">
        <f t="shared" si="5"/>
        <v>25</v>
      </c>
    </row>
    <row r="23" spans="1:42">
      <c r="A23" s="8">
        <v>16</v>
      </c>
      <c r="B23" s="8" t="s">
        <v>20</v>
      </c>
      <c r="C23" s="21" t="s">
        <v>164</v>
      </c>
      <c r="D23" s="21" t="s">
        <v>134</v>
      </c>
      <c r="E23" s="21" t="s">
        <v>129</v>
      </c>
      <c r="F23" s="68" t="s">
        <v>48</v>
      </c>
      <c r="G23" s="16"/>
      <c r="H23" s="68" t="s">
        <v>48</v>
      </c>
      <c r="I23" s="68" t="s">
        <v>48</v>
      </c>
      <c r="J23" s="68" t="s">
        <v>48</v>
      </c>
      <c r="K23" s="68" t="s">
        <v>48</v>
      </c>
      <c r="L23" s="68" t="s">
        <v>48</v>
      </c>
      <c r="M23" s="68" t="s">
        <v>48</v>
      </c>
      <c r="N23" s="16"/>
      <c r="O23" s="68" t="s">
        <v>48</v>
      </c>
      <c r="P23" s="68" t="s">
        <v>48</v>
      </c>
      <c r="Q23" s="68" t="s">
        <v>48</v>
      </c>
      <c r="R23" s="68" t="s">
        <v>48</v>
      </c>
      <c r="S23" s="68" t="s">
        <v>48</v>
      </c>
      <c r="T23" s="68" t="s">
        <v>48</v>
      </c>
      <c r="U23" s="16"/>
      <c r="V23" s="68" t="s">
        <v>48</v>
      </c>
      <c r="W23" s="68" t="s">
        <v>48</v>
      </c>
      <c r="X23" s="68" t="s">
        <v>48</v>
      </c>
      <c r="Y23" s="68" t="s">
        <v>48</v>
      </c>
      <c r="Z23" s="68" t="s">
        <v>48</v>
      </c>
      <c r="AA23" s="68" t="s">
        <v>48</v>
      </c>
      <c r="AB23" s="16"/>
      <c r="AC23" s="68" t="s">
        <v>48</v>
      </c>
      <c r="AD23" s="68" t="s">
        <v>48</v>
      </c>
      <c r="AE23" s="68" t="s">
        <v>48</v>
      </c>
      <c r="AF23" s="68" t="s">
        <v>48</v>
      </c>
      <c r="AG23" s="68" t="s">
        <v>48</v>
      </c>
      <c r="AH23" s="68" t="s">
        <v>48</v>
      </c>
      <c r="AI23" s="16"/>
      <c r="AJ23" s="68"/>
      <c r="AK23" s="12">
        <f t="shared" si="0"/>
        <v>25</v>
      </c>
      <c r="AL23" s="12">
        <f t="shared" si="1"/>
        <v>0</v>
      </c>
      <c r="AM23" s="12">
        <f t="shared" si="2"/>
        <v>0</v>
      </c>
      <c r="AN23" s="12">
        <f t="shared" si="3"/>
        <v>0</v>
      </c>
      <c r="AO23" s="12">
        <f t="shared" si="4"/>
        <v>25</v>
      </c>
      <c r="AP23" s="96">
        <f t="shared" si="5"/>
        <v>25</v>
      </c>
    </row>
    <row r="24" spans="1:42">
      <c r="A24" s="8">
        <v>17</v>
      </c>
      <c r="B24" s="8" t="s">
        <v>21</v>
      </c>
      <c r="C24" s="21" t="s">
        <v>183</v>
      </c>
      <c r="D24" s="21" t="s">
        <v>134</v>
      </c>
      <c r="E24" s="21" t="s">
        <v>129</v>
      </c>
      <c r="F24" s="68" t="s">
        <v>48</v>
      </c>
      <c r="G24" s="16"/>
      <c r="H24" s="68" t="s">
        <v>48</v>
      </c>
      <c r="I24" s="68" t="s">
        <v>48</v>
      </c>
      <c r="J24" s="68" t="s">
        <v>48</v>
      </c>
      <c r="K24" s="68" t="s">
        <v>48</v>
      </c>
      <c r="L24" s="68" t="s">
        <v>48</v>
      </c>
      <c r="M24" s="68" t="s">
        <v>48</v>
      </c>
      <c r="N24" s="16"/>
      <c r="O24" s="68" t="s">
        <v>48</v>
      </c>
      <c r="P24" s="68" t="s">
        <v>48</v>
      </c>
      <c r="Q24" s="68" t="s">
        <v>48</v>
      </c>
      <c r="R24" s="68" t="s">
        <v>48</v>
      </c>
      <c r="S24" s="68" t="s">
        <v>48</v>
      </c>
      <c r="T24" s="68" t="s">
        <v>48</v>
      </c>
      <c r="U24" s="16"/>
      <c r="V24" s="68" t="s">
        <v>48</v>
      </c>
      <c r="W24" s="68" t="s">
        <v>48</v>
      </c>
      <c r="X24" s="68" t="s">
        <v>48</v>
      </c>
      <c r="Y24" s="68" t="s">
        <v>48</v>
      </c>
      <c r="Z24" s="68" t="s">
        <v>48</v>
      </c>
      <c r="AA24" s="68" t="s">
        <v>48</v>
      </c>
      <c r="AB24" s="16"/>
      <c r="AC24" s="68" t="s">
        <v>48</v>
      </c>
      <c r="AD24" s="68" t="s">
        <v>48</v>
      </c>
      <c r="AE24" s="68" t="s">
        <v>48</v>
      </c>
      <c r="AF24" s="68" t="s">
        <v>48</v>
      </c>
      <c r="AG24" s="68" t="s">
        <v>48</v>
      </c>
      <c r="AH24" s="68" t="s">
        <v>48</v>
      </c>
      <c r="AI24" s="16"/>
      <c r="AJ24" s="68"/>
      <c r="AK24" s="12">
        <f t="shared" si="0"/>
        <v>25</v>
      </c>
      <c r="AL24" s="12">
        <f t="shared" si="1"/>
        <v>0</v>
      </c>
      <c r="AM24" s="12">
        <f t="shared" si="2"/>
        <v>0</v>
      </c>
      <c r="AN24" s="12">
        <f t="shared" si="3"/>
        <v>0</v>
      </c>
      <c r="AO24" s="12">
        <f t="shared" si="4"/>
        <v>25</v>
      </c>
      <c r="AP24" s="96">
        <f t="shared" si="5"/>
        <v>25</v>
      </c>
    </row>
    <row r="25" spans="1:42">
      <c r="A25" s="8">
        <v>18</v>
      </c>
      <c r="B25" s="8" t="s">
        <v>22</v>
      </c>
      <c r="C25" s="21" t="s">
        <v>165</v>
      </c>
      <c r="D25" s="21" t="s">
        <v>134</v>
      </c>
      <c r="E25" s="21" t="s">
        <v>129</v>
      </c>
      <c r="F25" s="68" t="s">
        <v>48</v>
      </c>
      <c r="G25" s="16"/>
      <c r="H25" s="68" t="s">
        <v>48</v>
      </c>
      <c r="I25" s="68" t="s">
        <v>48</v>
      </c>
      <c r="J25" s="68" t="s">
        <v>48</v>
      </c>
      <c r="K25" s="68" t="s">
        <v>48</v>
      </c>
      <c r="L25" s="68" t="s">
        <v>48</v>
      </c>
      <c r="M25" s="68" t="s">
        <v>48</v>
      </c>
      <c r="N25" s="16"/>
      <c r="O25" s="68" t="s">
        <v>48</v>
      </c>
      <c r="P25" s="68" t="s">
        <v>48</v>
      </c>
      <c r="Q25" s="68" t="s">
        <v>48</v>
      </c>
      <c r="R25" s="68" t="s">
        <v>48</v>
      </c>
      <c r="S25" s="68" t="s">
        <v>48</v>
      </c>
      <c r="T25" s="68" t="s">
        <v>48</v>
      </c>
      <c r="U25" s="16"/>
      <c r="V25" s="68" t="s">
        <v>55</v>
      </c>
      <c r="W25" s="68" t="s">
        <v>48</v>
      </c>
      <c r="X25" s="68" t="s">
        <v>48</v>
      </c>
      <c r="Y25" s="68" t="s">
        <v>48</v>
      </c>
      <c r="Z25" s="68" t="s">
        <v>48</v>
      </c>
      <c r="AA25" s="68" t="s">
        <v>48</v>
      </c>
      <c r="AB25" s="16"/>
      <c r="AC25" s="68" t="s">
        <v>48</v>
      </c>
      <c r="AD25" s="68" t="s">
        <v>48</v>
      </c>
      <c r="AE25" s="68" t="s">
        <v>48</v>
      </c>
      <c r="AF25" s="68" t="s">
        <v>48</v>
      </c>
      <c r="AG25" s="68" t="s">
        <v>48</v>
      </c>
      <c r="AH25" s="68" t="s">
        <v>48</v>
      </c>
      <c r="AI25" s="16"/>
      <c r="AJ25" s="68"/>
      <c r="AK25" s="12">
        <f t="shared" si="0"/>
        <v>24</v>
      </c>
      <c r="AL25" s="12">
        <f t="shared" si="1"/>
        <v>0</v>
      </c>
      <c r="AM25" s="12">
        <f t="shared" si="2"/>
        <v>0</v>
      </c>
      <c r="AN25" s="12">
        <f t="shared" si="3"/>
        <v>0.5</v>
      </c>
      <c r="AO25" s="12">
        <f t="shared" si="4"/>
        <v>23.5</v>
      </c>
      <c r="AP25" s="96">
        <f t="shared" si="5"/>
        <v>25</v>
      </c>
    </row>
    <row r="26" spans="1:42">
      <c r="A26" s="8">
        <v>19</v>
      </c>
      <c r="B26" s="8" t="s">
        <v>23</v>
      </c>
      <c r="C26" s="21" t="s">
        <v>166</v>
      </c>
      <c r="D26" s="21" t="s">
        <v>135</v>
      </c>
      <c r="E26" s="21" t="s">
        <v>129</v>
      </c>
      <c r="F26" s="68" t="s">
        <v>48</v>
      </c>
      <c r="G26" s="16"/>
      <c r="H26" s="68" t="s">
        <v>48</v>
      </c>
      <c r="I26" s="68" t="s">
        <v>48</v>
      </c>
      <c r="J26" s="68" t="s">
        <v>48</v>
      </c>
      <c r="K26" s="68" t="s">
        <v>48</v>
      </c>
      <c r="L26" s="68" t="s">
        <v>48</v>
      </c>
      <c r="M26" s="68" t="s">
        <v>48</v>
      </c>
      <c r="N26" s="16"/>
      <c r="O26" s="68" t="s">
        <v>48</v>
      </c>
      <c r="P26" s="68" t="s">
        <v>48</v>
      </c>
      <c r="Q26" s="68" t="s">
        <v>48</v>
      </c>
      <c r="R26" s="68" t="s">
        <v>48</v>
      </c>
      <c r="S26" s="68" t="s">
        <v>48</v>
      </c>
      <c r="T26" s="68" t="s">
        <v>48</v>
      </c>
      <c r="U26" s="16"/>
      <c r="V26" s="68" t="s">
        <v>48</v>
      </c>
      <c r="W26" s="68" t="s">
        <v>48</v>
      </c>
      <c r="X26" s="68" t="s">
        <v>48</v>
      </c>
      <c r="Y26" s="68" t="s">
        <v>48</v>
      </c>
      <c r="Z26" s="68" t="s">
        <v>48</v>
      </c>
      <c r="AA26" s="68" t="s">
        <v>48</v>
      </c>
      <c r="AB26" s="16"/>
      <c r="AC26" s="68" t="s">
        <v>48</v>
      </c>
      <c r="AD26" s="68" t="s">
        <v>48</v>
      </c>
      <c r="AE26" s="68" t="s">
        <v>48</v>
      </c>
      <c r="AF26" s="68" t="s">
        <v>48</v>
      </c>
      <c r="AG26" s="68" t="s">
        <v>48</v>
      </c>
      <c r="AH26" s="68" t="s">
        <v>48</v>
      </c>
      <c r="AI26" s="16"/>
      <c r="AJ26" s="68"/>
      <c r="AK26" s="12">
        <f t="shared" si="0"/>
        <v>25</v>
      </c>
      <c r="AL26" s="12">
        <f t="shared" si="1"/>
        <v>0</v>
      </c>
      <c r="AM26" s="12">
        <f t="shared" si="2"/>
        <v>0</v>
      </c>
      <c r="AN26" s="12">
        <f t="shared" si="3"/>
        <v>0</v>
      </c>
      <c r="AO26" s="12">
        <f t="shared" si="4"/>
        <v>25</v>
      </c>
      <c r="AP26" s="96">
        <f t="shared" si="5"/>
        <v>25</v>
      </c>
    </row>
    <row r="27" spans="1:42">
      <c r="A27" s="8">
        <v>20</v>
      </c>
      <c r="B27" s="8" t="s">
        <v>24</v>
      </c>
      <c r="C27" s="21" t="s">
        <v>167</v>
      </c>
      <c r="D27" s="21" t="s">
        <v>134</v>
      </c>
      <c r="E27" s="21" t="s">
        <v>129</v>
      </c>
      <c r="F27" s="68" t="s">
        <v>48</v>
      </c>
      <c r="G27" s="16"/>
      <c r="H27" s="68" t="s">
        <v>48</v>
      </c>
      <c r="I27" s="68" t="s">
        <v>50</v>
      </c>
      <c r="J27" s="68" t="s">
        <v>48</v>
      </c>
      <c r="K27" s="68" t="s">
        <v>48</v>
      </c>
      <c r="L27" s="68" t="s">
        <v>48</v>
      </c>
      <c r="M27" s="68" t="s">
        <v>48</v>
      </c>
      <c r="N27" s="16"/>
      <c r="O27" s="68" t="s">
        <v>48</v>
      </c>
      <c r="P27" s="68" t="s">
        <v>48</v>
      </c>
      <c r="Q27" s="68" t="s">
        <v>48</v>
      </c>
      <c r="R27" s="68" t="s">
        <v>48</v>
      </c>
      <c r="S27" s="68" t="s">
        <v>48</v>
      </c>
      <c r="T27" s="68" t="s">
        <v>53</v>
      </c>
      <c r="U27" s="16"/>
      <c r="V27" s="68" t="s">
        <v>48</v>
      </c>
      <c r="W27" s="68" t="s">
        <v>48</v>
      </c>
      <c r="X27" s="68" t="s">
        <v>48</v>
      </c>
      <c r="Y27" s="68" t="s">
        <v>48</v>
      </c>
      <c r="Z27" s="68" t="s">
        <v>48</v>
      </c>
      <c r="AA27" s="68" t="s">
        <v>48</v>
      </c>
      <c r="AB27" s="16"/>
      <c r="AC27" s="68" t="s">
        <v>48</v>
      </c>
      <c r="AD27" s="68" t="s">
        <v>48</v>
      </c>
      <c r="AE27" s="68" t="s">
        <v>48</v>
      </c>
      <c r="AF27" s="68" t="s">
        <v>48</v>
      </c>
      <c r="AG27" s="68" t="s">
        <v>48</v>
      </c>
      <c r="AH27" s="68" t="s">
        <v>48</v>
      </c>
      <c r="AI27" s="16"/>
      <c r="AJ27" s="68"/>
      <c r="AK27" s="12">
        <f t="shared" si="0"/>
        <v>23</v>
      </c>
      <c r="AL27" s="12">
        <f t="shared" si="1"/>
        <v>1</v>
      </c>
      <c r="AM27" s="12">
        <f t="shared" si="2"/>
        <v>1</v>
      </c>
      <c r="AN27" s="12">
        <f t="shared" si="3"/>
        <v>0</v>
      </c>
      <c r="AO27" s="12">
        <f t="shared" si="4"/>
        <v>23</v>
      </c>
      <c r="AP27" s="96">
        <f t="shared" si="5"/>
        <v>25</v>
      </c>
    </row>
    <row r="28" spans="1:42">
      <c r="A28" s="8">
        <v>21</v>
      </c>
      <c r="B28" s="8" t="s">
        <v>25</v>
      </c>
      <c r="C28" s="21" t="s">
        <v>168</v>
      </c>
      <c r="D28" s="21" t="s">
        <v>134</v>
      </c>
      <c r="E28" s="21" t="s">
        <v>129</v>
      </c>
      <c r="F28" s="68" t="s">
        <v>48</v>
      </c>
      <c r="G28" s="16"/>
      <c r="H28" s="68" t="s">
        <v>48</v>
      </c>
      <c r="I28" s="68" t="s">
        <v>48</v>
      </c>
      <c r="J28" s="68" t="s">
        <v>48</v>
      </c>
      <c r="K28" s="68" t="s">
        <v>48</v>
      </c>
      <c r="L28" s="68" t="s">
        <v>48</v>
      </c>
      <c r="M28" s="68" t="s">
        <v>48</v>
      </c>
      <c r="N28" s="16"/>
      <c r="O28" s="68" t="s">
        <v>48</v>
      </c>
      <c r="P28" s="68" t="s">
        <v>48</v>
      </c>
      <c r="Q28" s="68" t="s">
        <v>48</v>
      </c>
      <c r="R28" s="68" t="s">
        <v>48</v>
      </c>
      <c r="S28" s="68" t="s">
        <v>48</v>
      </c>
      <c r="T28" s="68" t="s">
        <v>48</v>
      </c>
      <c r="U28" s="16"/>
      <c r="V28" s="68" t="s">
        <v>48</v>
      </c>
      <c r="W28" s="68" t="s">
        <v>48</v>
      </c>
      <c r="X28" s="68" t="s">
        <v>48</v>
      </c>
      <c r="Y28" s="68" t="s">
        <v>48</v>
      </c>
      <c r="Z28" s="68" t="s">
        <v>48</v>
      </c>
      <c r="AA28" s="68" t="s">
        <v>48</v>
      </c>
      <c r="AB28" s="16"/>
      <c r="AC28" s="68" t="s">
        <v>48</v>
      </c>
      <c r="AD28" s="68" t="s">
        <v>48</v>
      </c>
      <c r="AE28" s="68" t="s">
        <v>48</v>
      </c>
      <c r="AF28" s="68" t="s">
        <v>48</v>
      </c>
      <c r="AG28" s="68" t="s">
        <v>48</v>
      </c>
      <c r="AH28" s="68" t="s">
        <v>50</v>
      </c>
      <c r="AI28" s="16"/>
      <c r="AJ28" s="68"/>
      <c r="AK28" s="12">
        <f t="shared" si="0"/>
        <v>24</v>
      </c>
      <c r="AL28" s="12">
        <f t="shared" si="1"/>
        <v>1</v>
      </c>
      <c r="AM28" s="12">
        <f t="shared" si="2"/>
        <v>0</v>
      </c>
      <c r="AN28" s="12">
        <f t="shared" si="3"/>
        <v>0</v>
      </c>
      <c r="AO28" s="12">
        <f t="shared" si="4"/>
        <v>25</v>
      </c>
      <c r="AP28" s="96">
        <f t="shared" si="5"/>
        <v>25</v>
      </c>
    </row>
    <row r="29" spans="1:42">
      <c r="A29" s="8">
        <v>22</v>
      </c>
      <c r="B29" s="8" t="s">
        <v>26</v>
      </c>
      <c r="C29" s="21" t="s">
        <v>184</v>
      </c>
      <c r="D29" s="21" t="s">
        <v>148</v>
      </c>
      <c r="E29" s="21" t="s">
        <v>129</v>
      </c>
      <c r="F29" s="68" t="s">
        <v>48</v>
      </c>
      <c r="G29" s="16"/>
      <c r="H29" s="68" t="s">
        <v>48</v>
      </c>
      <c r="I29" s="68" t="s">
        <v>48</v>
      </c>
      <c r="J29" s="68" t="s">
        <v>48</v>
      </c>
      <c r="K29" s="68" t="s">
        <v>48</v>
      </c>
      <c r="L29" s="68" t="s">
        <v>48</v>
      </c>
      <c r="M29" s="68" t="s">
        <v>48</v>
      </c>
      <c r="N29" s="16"/>
      <c r="O29" s="68" t="s">
        <v>48</v>
      </c>
      <c r="P29" s="68" t="s">
        <v>48</v>
      </c>
      <c r="Q29" s="68" t="s">
        <v>48</v>
      </c>
      <c r="R29" s="68" t="s">
        <v>48</v>
      </c>
      <c r="S29" s="68" t="s">
        <v>48</v>
      </c>
      <c r="T29" s="68" t="s">
        <v>48</v>
      </c>
      <c r="U29" s="16"/>
      <c r="V29" s="68" t="s">
        <v>48</v>
      </c>
      <c r="W29" s="68" t="s">
        <v>48</v>
      </c>
      <c r="X29" s="68" t="s">
        <v>48</v>
      </c>
      <c r="Y29" s="68" t="s">
        <v>48</v>
      </c>
      <c r="Z29" s="68" t="s">
        <v>48</v>
      </c>
      <c r="AA29" s="68" t="s">
        <v>48</v>
      </c>
      <c r="AB29" s="16"/>
      <c r="AC29" s="68" t="s">
        <v>48</v>
      </c>
      <c r="AD29" s="68" t="s">
        <v>48</v>
      </c>
      <c r="AE29" s="68" t="s">
        <v>48</v>
      </c>
      <c r="AF29" s="68" t="s">
        <v>48</v>
      </c>
      <c r="AG29" s="68" t="s">
        <v>48</v>
      </c>
      <c r="AH29" s="68" t="s">
        <v>48</v>
      </c>
      <c r="AI29" s="16"/>
      <c r="AJ29" s="68"/>
      <c r="AK29" s="12">
        <f t="shared" si="0"/>
        <v>25</v>
      </c>
      <c r="AL29" s="12">
        <f t="shared" si="1"/>
        <v>0</v>
      </c>
      <c r="AM29" s="12">
        <f t="shared" si="2"/>
        <v>0</v>
      </c>
      <c r="AN29" s="12">
        <f t="shared" si="3"/>
        <v>0</v>
      </c>
      <c r="AO29" s="12">
        <f t="shared" si="4"/>
        <v>25</v>
      </c>
      <c r="AP29" s="96">
        <f t="shared" si="5"/>
        <v>25</v>
      </c>
    </row>
    <row r="30" spans="1:42">
      <c r="A30" s="8">
        <v>23</v>
      </c>
      <c r="B30" s="8" t="s">
        <v>27</v>
      </c>
      <c r="C30" s="21" t="s">
        <v>169</v>
      </c>
      <c r="D30" s="21" t="s">
        <v>148</v>
      </c>
      <c r="E30" s="21" t="s">
        <v>129</v>
      </c>
      <c r="F30" s="68" t="s">
        <v>48</v>
      </c>
      <c r="G30" s="16"/>
      <c r="H30" s="68" t="s">
        <v>48</v>
      </c>
      <c r="I30" s="68" t="s">
        <v>48</v>
      </c>
      <c r="J30" s="68" t="s">
        <v>48</v>
      </c>
      <c r="K30" s="68" t="s">
        <v>48</v>
      </c>
      <c r="L30" s="68" t="s">
        <v>48</v>
      </c>
      <c r="M30" s="68" t="s">
        <v>48</v>
      </c>
      <c r="N30" s="16"/>
      <c r="O30" s="68" t="s">
        <v>48</v>
      </c>
      <c r="P30" s="68" t="s">
        <v>48</v>
      </c>
      <c r="Q30" s="68" t="s">
        <v>48</v>
      </c>
      <c r="R30" s="68" t="s">
        <v>48</v>
      </c>
      <c r="S30" s="68" t="s">
        <v>48</v>
      </c>
      <c r="T30" s="68" t="s">
        <v>48</v>
      </c>
      <c r="U30" s="16"/>
      <c r="V30" s="68" t="s">
        <v>48</v>
      </c>
      <c r="W30" s="68" t="s">
        <v>48</v>
      </c>
      <c r="X30" s="68" t="s">
        <v>48</v>
      </c>
      <c r="Y30" s="68" t="s">
        <v>48</v>
      </c>
      <c r="Z30" s="68" t="s">
        <v>48</v>
      </c>
      <c r="AA30" s="68" t="s">
        <v>48</v>
      </c>
      <c r="AB30" s="16"/>
      <c r="AC30" s="68" t="s">
        <v>48</v>
      </c>
      <c r="AD30" s="68" t="s">
        <v>48</v>
      </c>
      <c r="AE30" s="68" t="s">
        <v>48</v>
      </c>
      <c r="AF30" s="68" t="s">
        <v>48</v>
      </c>
      <c r="AG30" s="68" t="s">
        <v>48</v>
      </c>
      <c r="AH30" s="68" t="s">
        <v>48</v>
      </c>
      <c r="AI30" s="16"/>
      <c r="AJ30" s="68"/>
      <c r="AK30" s="12">
        <f t="shared" si="0"/>
        <v>25</v>
      </c>
      <c r="AL30" s="12">
        <f t="shared" si="1"/>
        <v>0</v>
      </c>
      <c r="AM30" s="12">
        <f t="shared" si="2"/>
        <v>0</v>
      </c>
      <c r="AN30" s="12">
        <f t="shared" si="3"/>
        <v>0</v>
      </c>
      <c r="AO30" s="12">
        <f t="shared" si="4"/>
        <v>25</v>
      </c>
      <c r="AP30" s="96">
        <f t="shared" si="5"/>
        <v>25</v>
      </c>
    </row>
    <row r="31" spans="1:42">
      <c r="A31" s="8">
        <v>24</v>
      </c>
      <c r="B31" s="8" t="s">
        <v>28</v>
      </c>
      <c r="C31" s="21" t="s">
        <v>170</v>
      </c>
      <c r="D31" s="21" t="s">
        <v>148</v>
      </c>
      <c r="E31" s="21" t="s">
        <v>129</v>
      </c>
      <c r="F31" s="68" t="s">
        <v>48</v>
      </c>
      <c r="G31" s="16"/>
      <c r="H31" s="68" t="s">
        <v>48</v>
      </c>
      <c r="I31" s="68" t="s">
        <v>48</v>
      </c>
      <c r="J31" s="68" t="s">
        <v>48</v>
      </c>
      <c r="K31" s="68" t="s">
        <v>48</v>
      </c>
      <c r="L31" s="68" t="s">
        <v>48</v>
      </c>
      <c r="M31" s="68" t="s">
        <v>48</v>
      </c>
      <c r="N31" s="16"/>
      <c r="O31" s="68" t="s">
        <v>48</v>
      </c>
      <c r="P31" s="68" t="s">
        <v>48</v>
      </c>
      <c r="Q31" s="68" t="s">
        <v>48</v>
      </c>
      <c r="R31" s="68" t="s">
        <v>48</v>
      </c>
      <c r="S31" s="68" t="s">
        <v>48</v>
      </c>
      <c r="T31" s="68" t="s">
        <v>48</v>
      </c>
      <c r="U31" s="16"/>
      <c r="V31" s="68" t="s">
        <v>48</v>
      </c>
      <c r="W31" s="68" t="s">
        <v>48</v>
      </c>
      <c r="X31" s="68" t="s">
        <v>48</v>
      </c>
      <c r="Y31" s="68" t="s">
        <v>48</v>
      </c>
      <c r="Z31" s="68" t="s">
        <v>48</v>
      </c>
      <c r="AA31" s="68" t="s">
        <v>48</v>
      </c>
      <c r="AB31" s="16"/>
      <c r="AC31" s="68" t="s">
        <v>48</v>
      </c>
      <c r="AD31" s="68" t="s">
        <v>48</v>
      </c>
      <c r="AE31" s="68" t="s">
        <v>48</v>
      </c>
      <c r="AF31" s="68" t="s">
        <v>48</v>
      </c>
      <c r="AG31" s="68" t="s">
        <v>48</v>
      </c>
      <c r="AH31" s="68" t="s">
        <v>53</v>
      </c>
      <c r="AI31" s="16"/>
      <c r="AJ31" s="68"/>
      <c r="AK31" s="12">
        <f t="shared" si="0"/>
        <v>24</v>
      </c>
      <c r="AL31" s="12">
        <f t="shared" si="1"/>
        <v>0</v>
      </c>
      <c r="AM31" s="12">
        <f t="shared" si="2"/>
        <v>1</v>
      </c>
      <c r="AN31" s="12">
        <f t="shared" si="3"/>
        <v>0</v>
      </c>
      <c r="AO31" s="12">
        <f t="shared" si="4"/>
        <v>23</v>
      </c>
      <c r="AP31" s="96">
        <f t="shared" si="5"/>
        <v>25</v>
      </c>
    </row>
    <row r="32" spans="1:42">
      <c r="A32" s="8">
        <v>25</v>
      </c>
      <c r="B32" s="8" t="s">
        <v>29</v>
      </c>
      <c r="C32" s="21" t="s">
        <v>171</v>
      </c>
      <c r="D32" s="21" t="s">
        <v>135</v>
      </c>
      <c r="E32" s="21" t="s">
        <v>129</v>
      </c>
      <c r="F32" s="68" t="s">
        <v>48</v>
      </c>
      <c r="G32" s="16"/>
      <c r="H32" s="68" t="s">
        <v>48</v>
      </c>
      <c r="I32" s="68" t="s">
        <v>48</v>
      </c>
      <c r="J32" s="68" t="s">
        <v>48</v>
      </c>
      <c r="K32" s="68" t="s">
        <v>48</v>
      </c>
      <c r="L32" s="68" t="s">
        <v>48</v>
      </c>
      <c r="M32" s="68" t="s">
        <v>48</v>
      </c>
      <c r="N32" s="16"/>
      <c r="O32" s="68" t="s">
        <v>48</v>
      </c>
      <c r="P32" s="68" t="s">
        <v>48</v>
      </c>
      <c r="Q32" s="68" t="s">
        <v>48</v>
      </c>
      <c r="R32" s="68" t="s">
        <v>48</v>
      </c>
      <c r="S32" s="68" t="s">
        <v>48</v>
      </c>
      <c r="T32" s="68" t="s">
        <v>48</v>
      </c>
      <c r="U32" s="16"/>
      <c r="V32" s="68" t="s">
        <v>48</v>
      </c>
      <c r="W32" s="68" t="s">
        <v>48</v>
      </c>
      <c r="X32" s="68" t="s">
        <v>48</v>
      </c>
      <c r="Y32" s="68" t="s">
        <v>48</v>
      </c>
      <c r="Z32" s="68" t="s">
        <v>48</v>
      </c>
      <c r="AA32" s="68" t="s">
        <v>48</v>
      </c>
      <c r="AB32" s="16"/>
      <c r="AC32" s="68" t="s">
        <v>48</v>
      </c>
      <c r="AD32" s="68" t="s">
        <v>48</v>
      </c>
      <c r="AE32" s="68" t="s">
        <v>48</v>
      </c>
      <c r="AF32" s="68" t="s">
        <v>48</v>
      </c>
      <c r="AG32" s="68" t="s">
        <v>48</v>
      </c>
      <c r="AH32" s="68" t="s">
        <v>48</v>
      </c>
      <c r="AI32" s="16"/>
      <c r="AJ32" s="68"/>
      <c r="AK32" s="12">
        <f t="shared" si="0"/>
        <v>25</v>
      </c>
      <c r="AL32" s="12">
        <f t="shared" si="1"/>
        <v>0</v>
      </c>
      <c r="AM32" s="12">
        <f t="shared" si="2"/>
        <v>0</v>
      </c>
      <c r="AN32" s="12">
        <f t="shared" si="3"/>
        <v>0</v>
      </c>
      <c r="AO32" s="12">
        <f t="shared" si="4"/>
        <v>25</v>
      </c>
      <c r="AP32" s="96">
        <f t="shared" si="5"/>
        <v>25</v>
      </c>
    </row>
    <row r="33" spans="1:42">
      <c r="A33" s="8">
        <v>26</v>
      </c>
      <c r="B33" s="8" t="s">
        <v>30</v>
      </c>
      <c r="C33" s="21" t="s">
        <v>172</v>
      </c>
      <c r="D33" s="21" t="s">
        <v>136</v>
      </c>
      <c r="E33" s="21" t="s">
        <v>129</v>
      </c>
      <c r="F33" s="68" t="s">
        <v>48</v>
      </c>
      <c r="G33" s="16"/>
      <c r="H33" s="68" t="s">
        <v>48</v>
      </c>
      <c r="I33" s="68" t="s">
        <v>48</v>
      </c>
      <c r="J33" s="68" t="s">
        <v>48</v>
      </c>
      <c r="K33" s="68" t="s">
        <v>48</v>
      </c>
      <c r="L33" s="68" t="s">
        <v>48</v>
      </c>
      <c r="M33" s="68" t="s">
        <v>48</v>
      </c>
      <c r="N33" s="16"/>
      <c r="O33" s="68" t="s">
        <v>48</v>
      </c>
      <c r="P33" s="68" t="s">
        <v>48</v>
      </c>
      <c r="Q33" s="68" t="s">
        <v>48</v>
      </c>
      <c r="R33" s="68" t="s">
        <v>48</v>
      </c>
      <c r="S33" s="68" t="s">
        <v>48</v>
      </c>
      <c r="T33" s="68" t="s">
        <v>48</v>
      </c>
      <c r="U33" s="16"/>
      <c r="V33" s="68" t="s">
        <v>48</v>
      </c>
      <c r="W33" s="68" t="s">
        <v>48</v>
      </c>
      <c r="X33" s="68" t="s">
        <v>48</v>
      </c>
      <c r="Y33" s="68" t="s">
        <v>48</v>
      </c>
      <c r="Z33" s="68" t="s">
        <v>48</v>
      </c>
      <c r="AA33" s="68" t="s">
        <v>48</v>
      </c>
      <c r="AB33" s="16"/>
      <c r="AC33" s="68" t="s">
        <v>48</v>
      </c>
      <c r="AD33" s="68" t="s">
        <v>48</v>
      </c>
      <c r="AE33" s="68" t="s">
        <v>48</v>
      </c>
      <c r="AF33" s="68" t="s">
        <v>48</v>
      </c>
      <c r="AG33" s="68" t="s">
        <v>48</v>
      </c>
      <c r="AH33" s="68" t="s">
        <v>48</v>
      </c>
      <c r="AI33" s="16"/>
      <c r="AJ33" s="68"/>
      <c r="AK33" s="12">
        <f t="shared" si="0"/>
        <v>25</v>
      </c>
      <c r="AL33" s="12">
        <f t="shared" si="1"/>
        <v>0</v>
      </c>
      <c r="AM33" s="12">
        <f t="shared" si="2"/>
        <v>0</v>
      </c>
      <c r="AN33" s="12">
        <f t="shared" si="3"/>
        <v>0</v>
      </c>
      <c r="AO33" s="12">
        <f t="shared" si="4"/>
        <v>25</v>
      </c>
      <c r="AP33" s="96">
        <f t="shared" si="5"/>
        <v>25</v>
      </c>
    </row>
    <row r="34" spans="1:42">
      <c r="A34" s="8">
        <v>27</v>
      </c>
      <c r="B34" s="8" t="s">
        <v>31</v>
      </c>
      <c r="C34" s="21" t="s">
        <v>165</v>
      </c>
      <c r="D34" s="21" t="s">
        <v>136</v>
      </c>
      <c r="E34" s="21" t="s">
        <v>129</v>
      </c>
      <c r="F34" s="68" t="s">
        <v>48</v>
      </c>
      <c r="G34" s="16"/>
      <c r="H34" s="68" t="s">
        <v>48</v>
      </c>
      <c r="I34" s="68" t="s">
        <v>48</v>
      </c>
      <c r="J34" s="68" t="s">
        <v>48</v>
      </c>
      <c r="K34" s="68" t="s">
        <v>48</v>
      </c>
      <c r="L34" s="68" t="s">
        <v>48</v>
      </c>
      <c r="M34" s="68" t="s">
        <v>48</v>
      </c>
      <c r="N34" s="16"/>
      <c r="O34" s="68" t="s">
        <v>48</v>
      </c>
      <c r="P34" s="68" t="s">
        <v>48</v>
      </c>
      <c r="Q34" s="68" t="s">
        <v>48</v>
      </c>
      <c r="R34" s="68" t="s">
        <v>48</v>
      </c>
      <c r="S34" s="68" t="s">
        <v>48</v>
      </c>
      <c r="T34" s="68" t="s">
        <v>48</v>
      </c>
      <c r="U34" s="16"/>
      <c r="V34" s="68" t="s">
        <v>48</v>
      </c>
      <c r="W34" s="68" t="s">
        <v>48</v>
      </c>
      <c r="X34" s="68" t="s">
        <v>48</v>
      </c>
      <c r="Y34" s="68" t="s">
        <v>48</v>
      </c>
      <c r="Z34" s="68" t="s">
        <v>48</v>
      </c>
      <c r="AA34" s="68" t="s">
        <v>48</v>
      </c>
      <c r="AB34" s="16"/>
      <c r="AC34" s="68" t="s">
        <v>48</v>
      </c>
      <c r="AD34" s="68" t="s">
        <v>48</v>
      </c>
      <c r="AE34" s="68" t="s">
        <v>48</v>
      </c>
      <c r="AF34" s="68" t="s">
        <v>48</v>
      </c>
      <c r="AG34" s="68" t="s">
        <v>48</v>
      </c>
      <c r="AH34" s="68" t="s">
        <v>53</v>
      </c>
      <c r="AI34" s="16"/>
      <c r="AJ34" s="68"/>
      <c r="AK34" s="12">
        <f t="shared" si="0"/>
        <v>24</v>
      </c>
      <c r="AL34" s="12">
        <f t="shared" si="1"/>
        <v>0</v>
      </c>
      <c r="AM34" s="12">
        <f t="shared" si="2"/>
        <v>1</v>
      </c>
      <c r="AN34" s="12">
        <f t="shared" si="3"/>
        <v>0</v>
      </c>
      <c r="AO34" s="12">
        <f t="shared" si="4"/>
        <v>23</v>
      </c>
      <c r="AP34" s="96">
        <f t="shared" si="5"/>
        <v>25</v>
      </c>
    </row>
    <row r="35" spans="1:42">
      <c r="A35" s="8">
        <v>28</v>
      </c>
      <c r="B35" s="8" t="s">
        <v>32</v>
      </c>
      <c r="C35" s="21" t="s">
        <v>185</v>
      </c>
      <c r="D35" s="21" t="s">
        <v>137</v>
      </c>
      <c r="E35" s="21" t="s">
        <v>129</v>
      </c>
      <c r="F35" s="68" t="s">
        <v>48</v>
      </c>
      <c r="G35" s="16"/>
      <c r="H35" s="68" t="s">
        <v>48</v>
      </c>
      <c r="I35" s="68" t="s">
        <v>48</v>
      </c>
      <c r="J35" s="68" t="s">
        <v>48</v>
      </c>
      <c r="K35" s="68" t="s">
        <v>48</v>
      </c>
      <c r="L35" s="68" t="s">
        <v>48</v>
      </c>
      <c r="M35" s="68" t="s">
        <v>48</v>
      </c>
      <c r="N35" s="16"/>
      <c r="O35" s="68" t="s">
        <v>48</v>
      </c>
      <c r="P35" s="68" t="s">
        <v>48</v>
      </c>
      <c r="Q35" s="68" t="s">
        <v>48</v>
      </c>
      <c r="R35" s="68" t="s">
        <v>48</v>
      </c>
      <c r="S35" s="68" t="s">
        <v>48</v>
      </c>
      <c r="T35" s="68" t="s">
        <v>48</v>
      </c>
      <c r="U35" s="16"/>
      <c r="V35" s="68" t="s">
        <v>48</v>
      </c>
      <c r="W35" s="68" t="s">
        <v>48</v>
      </c>
      <c r="X35" s="68" t="s">
        <v>48</v>
      </c>
      <c r="Y35" s="68" t="s">
        <v>48</v>
      </c>
      <c r="Z35" s="68" t="s">
        <v>48</v>
      </c>
      <c r="AA35" s="68" t="s">
        <v>48</v>
      </c>
      <c r="AB35" s="16"/>
      <c r="AC35" s="68" t="s">
        <v>48</v>
      </c>
      <c r="AD35" s="68" t="s">
        <v>48</v>
      </c>
      <c r="AE35" s="68" t="s">
        <v>48</v>
      </c>
      <c r="AF35" s="68" t="s">
        <v>48</v>
      </c>
      <c r="AG35" s="68" t="s">
        <v>48</v>
      </c>
      <c r="AH35" s="68" t="s">
        <v>48</v>
      </c>
      <c r="AI35" s="16"/>
      <c r="AJ35" s="68"/>
      <c r="AK35" s="12">
        <f t="shared" si="0"/>
        <v>25</v>
      </c>
      <c r="AL35" s="12">
        <f t="shared" si="1"/>
        <v>0</v>
      </c>
      <c r="AM35" s="12">
        <f t="shared" si="2"/>
        <v>0</v>
      </c>
      <c r="AN35" s="12">
        <f t="shared" si="3"/>
        <v>0</v>
      </c>
      <c r="AO35" s="12">
        <f t="shared" si="4"/>
        <v>25</v>
      </c>
      <c r="AP35" s="96">
        <f t="shared" si="5"/>
        <v>25</v>
      </c>
    </row>
    <row r="36" spans="1:42">
      <c r="A36" s="8">
        <v>29</v>
      </c>
      <c r="B36" s="8" t="s">
        <v>33</v>
      </c>
      <c r="C36" s="21" t="s">
        <v>186</v>
      </c>
      <c r="D36" s="21" t="s">
        <v>137</v>
      </c>
      <c r="E36" s="21" t="s">
        <v>129</v>
      </c>
      <c r="F36" s="68" t="s">
        <v>48</v>
      </c>
      <c r="G36" s="16"/>
      <c r="H36" s="68" t="s">
        <v>48</v>
      </c>
      <c r="I36" s="68" t="s">
        <v>48</v>
      </c>
      <c r="J36" s="68" t="s">
        <v>48</v>
      </c>
      <c r="K36" s="68" t="s">
        <v>48</v>
      </c>
      <c r="L36" s="68" t="s">
        <v>48</v>
      </c>
      <c r="M36" s="68" t="s">
        <v>48</v>
      </c>
      <c r="N36" s="16"/>
      <c r="O36" s="68" t="s">
        <v>48</v>
      </c>
      <c r="P36" s="68" t="s">
        <v>48</v>
      </c>
      <c r="Q36" s="68" t="s">
        <v>48</v>
      </c>
      <c r="R36" s="68" t="s">
        <v>48</v>
      </c>
      <c r="S36" s="68" t="s">
        <v>48</v>
      </c>
      <c r="T36" s="68" t="s">
        <v>48</v>
      </c>
      <c r="U36" s="16"/>
      <c r="V36" s="68" t="s">
        <v>48</v>
      </c>
      <c r="W36" s="68" t="s">
        <v>48</v>
      </c>
      <c r="X36" s="68" t="s">
        <v>48</v>
      </c>
      <c r="Y36" s="68" t="s">
        <v>48</v>
      </c>
      <c r="Z36" s="68" t="s">
        <v>48</v>
      </c>
      <c r="AA36" s="68" t="s">
        <v>48</v>
      </c>
      <c r="AB36" s="16"/>
      <c r="AC36" s="68" t="s">
        <v>48</v>
      </c>
      <c r="AD36" s="68" t="s">
        <v>48</v>
      </c>
      <c r="AE36" s="68" t="s">
        <v>48</v>
      </c>
      <c r="AF36" s="68" t="s">
        <v>48</v>
      </c>
      <c r="AG36" s="68" t="s">
        <v>48</v>
      </c>
      <c r="AH36" s="68" t="s">
        <v>48</v>
      </c>
      <c r="AI36" s="16"/>
      <c r="AJ36" s="68"/>
      <c r="AK36" s="12">
        <f t="shared" si="0"/>
        <v>25</v>
      </c>
      <c r="AL36" s="12">
        <f t="shared" si="1"/>
        <v>0</v>
      </c>
      <c r="AM36" s="12">
        <f t="shared" si="2"/>
        <v>0</v>
      </c>
      <c r="AN36" s="12">
        <f t="shared" si="3"/>
        <v>0</v>
      </c>
      <c r="AO36" s="12">
        <f t="shared" si="4"/>
        <v>25</v>
      </c>
      <c r="AP36" s="96">
        <f t="shared" si="5"/>
        <v>25</v>
      </c>
    </row>
    <row r="37" spans="1:42">
      <c r="A37" s="8">
        <v>30</v>
      </c>
      <c r="B37" s="8" t="s">
        <v>34</v>
      </c>
      <c r="C37" s="21" t="s">
        <v>173</v>
      </c>
      <c r="D37" s="21" t="s">
        <v>138</v>
      </c>
      <c r="E37" s="21" t="s">
        <v>127</v>
      </c>
      <c r="F37" s="68" t="s">
        <v>48</v>
      </c>
      <c r="G37" s="16"/>
      <c r="H37" s="68" t="s">
        <v>48</v>
      </c>
      <c r="I37" s="68" t="s">
        <v>48</v>
      </c>
      <c r="J37" s="68" t="s">
        <v>48</v>
      </c>
      <c r="K37" s="68" t="s">
        <v>48</v>
      </c>
      <c r="L37" s="68" t="s">
        <v>48</v>
      </c>
      <c r="M37" s="68" t="s">
        <v>48</v>
      </c>
      <c r="N37" s="16"/>
      <c r="O37" s="68" t="s">
        <v>48</v>
      </c>
      <c r="P37" s="68" t="s">
        <v>48</v>
      </c>
      <c r="Q37" s="68" t="s">
        <v>48</v>
      </c>
      <c r="R37" s="68" t="s">
        <v>48</v>
      </c>
      <c r="S37" s="68" t="s">
        <v>48</v>
      </c>
      <c r="T37" s="68" t="s">
        <v>48</v>
      </c>
      <c r="U37" s="16"/>
      <c r="V37" s="68" t="s">
        <v>48</v>
      </c>
      <c r="W37" s="68" t="s">
        <v>48</v>
      </c>
      <c r="X37" s="68" t="s">
        <v>48</v>
      </c>
      <c r="Y37" s="68" t="s">
        <v>48</v>
      </c>
      <c r="Z37" s="68" t="s">
        <v>55</v>
      </c>
      <c r="AA37" s="68" t="s">
        <v>48</v>
      </c>
      <c r="AB37" s="16"/>
      <c r="AC37" s="68" t="s">
        <v>48</v>
      </c>
      <c r="AD37" s="68" t="s">
        <v>48</v>
      </c>
      <c r="AE37" s="68" t="s">
        <v>48</v>
      </c>
      <c r="AF37" s="68" t="s">
        <v>48</v>
      </c>
      <c r="AG37" s="68" t="s">
        <v>48</v>
      </c>
      <c r="AH37" s="68" t="s">
        <v>48</v>
      </c>
      <c r="AI37" s="16"/>
      <c r="AJ37" s="68"/>
      <c r="AK37" s="12">
        <f t="shared" si="0"/>
        <v>24</v>
      </c>
      <c r="AL37" s="12">
        <f t="shared" si="1"/>
        <v>0</v>
      </c>
      <c r="AM37" s="12">
        <f t="shared" si="2"/>
        <v>0</v>
      </c>
      <c r="AN37" s="12">
        <f t="shared" si="3"/>
        <v>0.5</v>
      </c>
      <c r="AO37" s="12">
        <f t="shared" si="4"/>
        <v>23.5</v>
      </c>
      <c r="AP37" s="96">
        <f t="shared" si="5"/>
        <v>25</v>
      </c>
    </row>
    <row r="38" spans="1:42">
      <c r="A38" s="8">
        <v>31</v>
      </c>
      <c r="B38" s="8" t="s">
        <v>35</v>
      </c>
      <c r="C38" s="21" t="s">
        <v>174</v>
      </c>
      <c r="D38" s="21" t="s">
        <v>144</v>
      </c>
      <c r="E38" s="21" t="s">
        <v>146</v>
      </c>
      <c r="F38" s="68" t="s">
        <v>48</v>
      </c>
      <c r="G38" s="16"/>
      <c r="H38" s="68" t="s">
        <v>48</v>
      </c>
      <c r="I38" s="68" t="s">
        <v>48</v>
      </c>
      <c r="J38" s="68" t="s">
        <v>48</v>
      </c>
      <c r="K38" s="68" t="s">
        <v>48</v>
      </c>
      <c r="L38" s="68" t="s">
        <v>48</v>
      </c>
      <c r="M38" s="68" t="s">
        <v>48</v>
      </c>
      <c r="N38" s="16"/>
      <c r="O38" s="68" t="s">
        <v>48</v>
      </c>
      <c r="P38" s="68" t="s">
        <v>48</v>
      </c>
      <c r="Q38" s="68" t="s">
        <v>48</v>
      </c>
      <c r="R38" s="68" t="s">
        <v>48</v>
      </c>
      <c r="S38" s="68" t="s">
        <v>48</v>
      </c>
      <c r="T38" s="68" t="s">
        <v>48</v>
      </c>
      <c r="U38" s="16"/>
      <c r="V38" s="68" t="s">
        <v>48</v>
      </c>
      <c r="W38" s="68" t="s">
        <v>48</v>
      </c>
      <c r="X38" s="68" t="s">
        <v>48</v>
      </c>
      <c r="Y38" s="68" t="s">
        <v>48</v>
      </c>
      <c r="Z38" s="68" t="s">
        <v>48</v>
      </c>
      <c r="AA38" s="68" t="s">
        <v>48</v>
      </c>
      <c r="AB38" s="16"/>
      <c r="AC38" s="68" t="s">
        <v>48</v>
      </c>
      <c r="AD38" s="68" t="s">
        <v>48</v>
      </c>
      <c r="AE38" s="68" t="s">
        <v>48</v>
      </c>
      <c r="AF38" s="68" t="s">
        <v>48</v>
      </c>
      <c r="AG38" s="68" t="s">
        <v>48</v>
      </c>
      <c r="AH38" s="68" t="s">
        <v>48</v>
      </c>
      <c r="AI38" s="16"/>
      <c r="AJ38" s="68"/>
      <c r="AK38" s="12">
        <f t="shared" si="0"/>
        <v>25</v>
      </c>
      <c r="AL38" s="12">
        <f t="shared" si="1"/>
        <v>0</v>
      </c>
      <c r="AM38" s="12">
        <f t="shared" si="2"/>
        <v>0</v>
      </c>
      <c r="AN38" s="12">
        <f t="shared" si="3"/>
        <v>0</v>
      </c>
      <c r="AO38" s="12">
        <f t="shared" si="4"/>
        <v>25</v>
      </c>
      <c r="AP38" s="96">
        <f t="shared" si="5"/>
        <v>25</v>
      </c>
    </row>
    <row r="39" spans="1:42">
      <c r="A39" s="8">
        <v>32</v>
      </c>
      <c r="B39" s="8" t="s">
        <v>36</v>
      </c>
      <c r="C39" s="21" t="s">
        <v>175</v>
      </c>
      <c r="D39" s="21" t="s">
        <v>139</v>
      </c>
      <c r="E39" s="21" t="s">
        <v>129</v>
      </c>
      <c r="F39" s="68" t="s">
        <v>48</v>
      </c>
      <c r="G39" s="16"/>
      <c r="H39" s="68" t="s">
        <v>48</v>
      </c>
      <c r="I39" s="68" t="s">
        <v>48</v>
      </c>
      <c r="J39" s="68" t="s">
        <v>48</v>
      </c>
      <c r="K39" s="68" t="s">
        <v>48</v>
      </c>
      <c r="L39" s="68" t="s">
        <v>48</v>
      </c>
      <c r="M39" s="68" t="s">
        <v>48</v>
      </c>
      <c r="N39" s="16"/>
      <c r="O39" s="68" t="s">
        <v>48</v>
      </c>
      <c r="P39" s="68" t="s">
        <v>48</v>
      </c>
      <c r="Q39" s="68" t="s">
        <v>48</v>
      </c>
      <c r="R39" s="68" t="s">
        <v>48</v>
      </c>
      <c r="S39" s="68" t="s">
        <v>48</v>
      </c>
      <c r="T39" s="68" t="s">
        <v>48</v>
      </c>
      <c r="U39" s="16"/>
      <c r="V39" s="68" t="s">
        <v>48</v>
      </c>
      <c r="W39" s="68" t="s">
        <v>48</v>
      </c>
      <c r="X39" s="68" t="s">
        <v>48</v>
      </c>
      <c r="Y39" s="68" t="s">
        <v>48</v>
      </c>
      <c r="Z39" s="68" t="s">
        <v>48</v>
      </c>
      <c r="AA39" s="68" t="s">
        <v>48</v>
      </c>
      <c r="AB39" s="16"/>
      <c r="AC39" s="68" t="s">
        <v>48</v>
      </c>
      <c r="AD39" s="68" t="s">
        <v>48</v>
      </c>
      <c r="AE39" s="68" t="s">
        <v>48</v>
      </c>
      <c r="AF39" s="68" t="s">
        <v>48</v>
      </c>
      <c r="AG39" s="68" t="s">
        <v>48</v>
      </c>
      <c r="AH39" s="68" t="s">
        <v>48</v>
      </c>
      <c r="AI39" s="16"/>
      <c r="AJ39" s="68"/>
      <c r="AK39" s="12">
        <f t="shared" si="0"/>
        <v>25</v>
      </c>
      <c r="AL39" s="12">
        <f t="shared" si="1"/>
        <v>0</v>
      </c>
      <c r="AM39" s="12">
        <f t="shared" si="2"/>
        <v>0</v>
      </c>
      <c r="AN39" s="12">
        <f t="shared" si="3"/>
        <v>0</v>
      </c>
      <c r="AO39" s="12">
        <f t="shared" si="4"/>
        <v>25</v>
      </c>
      <c r="AP39" s="96">
        <f t="shared" si="5"/>
        <v>25</v>
      </c>
    </row>
    <row r="40" spans="1:42">
      <c r="A40" s="8">
        <v>33</v>
      </c>
      <c r="B40" s="8" t="s">
        <v>37</v>
      </c>
      <c r="C40" s="21" t="s">
        <v>187</v>
      </c>
      <c r="D40" s="21" t="s">
        <v>139</v>
      </c>
      <c r="E40" s="21" t="s">
        <v>129</v>
      </c>
      <c r="F40" s="68" t="s">
        <v>48</v>
      </c>
      <c r="G40" s="16"/>
      <c r="H40" s="68" t="s">
        <v>48</v>
      </c>
      <c r="I40" s="68" t="s">
        <v>48</v>
      </c>
      <c r="J40" s="68" t="s">
        <v>48</v>
      </c>
      <c r="K40" s="68" t="s">
        <v>48</v>
      </c>
      <c r="L40" s="68" t="s">
        <v>48</v>
      </c>
      <c r="M40" s="68" t="s">
        <v>48</v>
      </c>
      <c r="N40" s="16"/>
      <c r="O40" s="68" t="s">
        <v>48</v>
      </c>
      <c r="P40" s="68" t="s">
        <v>48</v>
      </c>
      <c r="Q40" s="68" t="s">
        <v>48</v>
      </c>
      <c r="R40" s="68" t="s">
        <v>48</v>
      </c>
      <c r="S40" s="68" t="s">
        <v>48</v>
      </c>
      <c r="T40" s="68" t="s">
        <v>53</v>
      </c>
      <c r="U40" s="16"/>
      <c r="V40" s="68" t="s">
        <v>48</v>
      </c>
      <c r="W40" s="68" t="s">
        <v>48</v>
      </c>
      <c r="X40" s="68" t="s">
        <v>48</v>
      </c>
      <c r="Y40" s="68" t="s">
        <v>48</v>
      </c>
      <c r="Z40" s="68" t="s">
        <v>48</v>
      </c>
      <c r="AA40" s="68" t="s">
        <v>48</v>
      </c>
      <c r="AB40" s="16"/>
      <c r="AC40" s="68" t="s">
        <v>48</v>
      </c>
      <c r="AD40" s="68" t="s">
        <v>48</v>
      </c>
      <c r="AE40" s="68" t="s">
        <v>48</v>
      </c>
      <c r="AF40" s="68" t="s">
        <v>48</v>
      </c>
      <c r="AG40" s="68" t="s">
        <v>48</v>
      </c>
      <c r="AH40" s="68" t="s">
        <v>48</v>
      </c>
      <c r="AI40" s="16"/>
      <c r="AJ40" s="68"/>
      <c r="AK40" s="12">
        <f t="shared" si="0"/>
        <v>24</v>
      </c>
      <c r="AL40" s="12">
        <f t="shared" si="1"/>
        <v>0</v>
      </c>
      <c r="AM40" s="12">
        <f t="shared" si="2"/>
        <v>1</v>
      </c>
      <c r="AN40" s="12">
        <f t="shared" si="3"/>
        <v>0</v>
      </c>
      <c r="AO40" s="12">
        <f t="shared" si="4"/>
        <v>23</v>
      </c>
      <c r="AP40" s="96">
        <f t="shared" si="5"/>
        <v>25</v>
      </c>
    </row>
    <row r="41" spans="1:42">
      <c r="A41" s="8">
        <v>34</v>
      </c>
      <c r="B41" s="8" t="s">
        <v>38</v>
      </c>
      <c r="C41" s="21" t="s">
        <v>188</v>
      </c>
      <c r="D41" s="21" t="s">
        <v>140</v>
      </c>
      <c r="E41" s="21" t="s">
        <v>127</v>
      </c>
      <c r="F41" s="68" t="s">
        <v>48</v>
      </c>
      <c r="G41" s="16"/>
      <c r="H41" s="68" t="s">
        <v>48</v>
      </c>
      <c r="I41" s="68" t="s">
        <v>48</v>
      </c>
      <c r="J41" s="68" t="s">
        <v>48</v>
      </c>
      <c r="K41" s="68" t="s">
        <v>48</v>
      </c>
      <c r="L41" s="68" t="s">
        <v>48</v>
      </c>
      <c r="M41" s="68" t="s">
        <v>48</v>
      </c>
      <c r="N41" s="16"/>
      <c r="O41" s="68" t="s">
        <v>48</v>
      </c>
      <c r="P41" s="68" t="s">
        <v>48</v>
      </c>
      <c r="Q41" s="68" t="s">
        <v>48</v>
      </c>
      <c r="R41" s="68" t="s">
        <v>48</v>
      </c>
      <c r="S41" s="68" t="s">
        <v>48</v>
      </c>
      <c r="T41" s="68" t="s">
        <v>48</v>
      </c>
      <c r="U41" s="16"/>
      <c r="V41" s="68" t="s">
        <v>48</v>
      </c>
      <c r="W41" s="68" t="s">
        <v>48</v>
      </c>
      <c r="X41" s="68" t="s">
        <v>48</v>
      </c>
      <c r="Y41" s="68" t="s">
        <v>48</v>
      </c>
      <c r="Z41" s="68" t="s">
        <v>48</v>
      </c>
      <c r="AA41" s="68" t="s">
        <v>48</v>
      </c>
      <c r="AB41" s="16"/>
      <c r="AC41" s="68" t="s">
        <v>48</v>
      </c>
      <c r="AD41" s="68" t="s">
        <v>48</v>
      </c>
      <c r="AE41" s="68" t="s">
        <v>48</v>
      </c>
      <c r="AF41" s="68" t="s">
        <v>48</v>
      </c>
      <c r="AG41" s="68" t="s">
        <v>48</v>
      </c>
      <c r="AH41" s="68" t="s">
        <v>48</v>
      </c>
      <c r="AI41" s="16"/>
      <c r="AJ41" s="68"/>
      <c r="AK41" s="12">
        <f t="shared" si="0"/>
        <v>25</v>
      </c>
      <c r="AL41" s="12">
        <f t="shared" si="1"/>
        <v>0</v>
      </c>
      <c r="AM41" s="12">
        <f t="shared" si="2"/>
        <v>0</v>
      </c>
      <c r="AN41" s="12">
        <f t="shared" si="3"/>
        <v>0</v>
      </c>
      <c r="AO41" s="12">
        <f t="shared" si="4"/>
        <v>25</v>
      </c>
      <c r="AP41" s="96">
        <f t="shared" si="5"/>
        <v>25</v>
      </c>
    </row>
    <row r="42" spans="1:42">
      <c r="A42" s="8">
        <v>35</v>
      </c>
      <c r="B42" s="8" t="s">
        <v>39</v>
      </c>
      <c r="C42" s="21" t="s">
        <v>179</v>
      </c>
      <c r="D42" s="21" t="s">
        <v>141</v>
      </c>
      <c r="E42" s="21" t="s">
        <v>127</v>
      </c>
      <c r="F42" s="68" t="s">
        <v>48</v>
      </c>
      <c r="G42" s="16"/>
      <c r="H42" s="68" t="s">
        <v>48</v>
      </c>
      <c r="I42" s="68" t="s">
        <v>48</v>
      </c>
      <c r="J42" s="68" t="s">
        <v>48</v>
      </c>
      <c r="K42" s="68" t="s">
        <v>48</v>
      </c>
      <c r="L42" s="68" t="s">
        <v>48</v>
      </c>
      <c r="M42" s="68" t="s">
        <v>48</v>
      </c>
      <c r="N42" s="16"/>
      <c r="O42" s="68" t="s">
        <v>48</v>
      </c>
      <c r="P42" s="68" t="s">
        <v>48</v>
      </c>
      <c r="Q42" s="68" t="s">
        <v>48</v>
      </c>
      <c r="R42" s="68" t="s">
        <v>48</v>
      </c>
      <c r="S42" s="68" t="s">
        <v>48</v>
      </c>
      <c r="T42" s="68" t="s">
        <v>48</v>
      </c>
      <c r="U42" s="16"/>
      <c r="V42" s="68" t="s">
        <v>48</v>
      </c>
      <c r="W42" s="68" t="s">
        <v>48</v>
      </c>
      <c r="X42" s="68" t="s">
        <v>48</v>
      </c>
      <c r="Y42" s="68" t="s">
        <v>48</v>
      </c>
      <c r="Z42" s="68" t="s">
        <v>48</v>
      </c>
      <c r="AA42" s="68" t="s">
        <v>48</v>
      </c>
      <c r="AB42" s="16"/>
      <c r="AC42" s="68" t="s">
        <v>48</v>
      </c>
      <c r="AD42" s="68" t="s">
        <v>48</v>
      </c>
      <c r="AE42" s="68" t="s">
        <v>48</v>
      </c>
      <c r="AF42" s="68" t="s">
        <v>48</v>
      </c>
      <c r="AG42" s="68" t="s">
        <v>48</v>
      </c>
      <c r="AH42" s="68" t="s">
        <v>48</v>
      </c>
      <c r="AI42" s="16"/>
      <c r="AJ42" s="68"/>
      <c r="AK42" s="12">
        <f t="shared" si="0"/>
        <v>25</v>
      </c>
      <c r="AL42" s="12">
        <f t="shared" si="1"/>
        <v>0</v>
      </c>
      <c r="AM42" s="12">
        <f t="shared" si="2"/>
        <v>0</v>
      </c>
      <c r="AN42" s="12">
        <f t="shared" si="3"/>
        <v>0</v>
      </c>
      <c r="AO42" s="12">
        <f t="shared" si="4"/>
        <v>25</v>
      </c>
      <c r="AP42" s="96">
        <f t="shared" si="5"/>
        <v>25</v>
      </c>
    </row>
    <row r="43" spans="1:42">
      <c r="A43" s="8">
        <v>36</v>
      </c>
      <c r="B43" s="8" t="s">
        <v>40</v>
      </c>
      <c r="C43" s="21" t="s">
        <v>178</v>
      </c>
      <c r="D43" s="21" t="s">
        <v>142</v>
      </c>
      <c r="E43" s="21" t="s">
        <v>147</v>
      </c>
      <c r="F43" s="68" t="s">
        <v>48</v>
      </c>
      <c r="G43" s="16"/>
      <c r="H43" s="68" t="s">
        <v>48</v>
      </c>
      <c r="I43" s="68" t="s">
        <v>48</v>
      </c>
      <c r="J43" s="68" t="s">
        <v>48</v>
      </c>
      <c r="K43" s="68" t="s">
        <v>48</v>
      </c>
      <c r="L43" s="68" t="s">
        <v>48</v>
      </c>
      <c r="M43" s="68" t="s">
        <v>48</v>
      </c>
      <c r="N43" s="16"/>
      <c r="O43" s="68" t="s">
        <v>48</v>
      </c>
      <c r="P43" s="68" t="s">
        <v>50</v>
      </c>
      <c r="Q43" s="68" t="s">
        <v>48</v>
      </c>
      <c r="R43" s="68" t="s">
        <v>48</v>
      </c>
      <c r="S43" s="68" t="s">
        <v>48</v>
      </c>
      <c r="T43" s="68" t="s">
        <v>48</v>
      </c>
      <c r="U43" s="16"/>
      <c r="V43" s="68" t="s">
        <v>48</v>
      </c>
      <c r="W43" s="68" t="s">
        <v>48</v>
      </c>
      <c r="X43" s="68" t="s">
        <v>48</v>
      </c>
      <c r="Y43" s="68" t="s">
        <v>48</v>
      </c>
      <c r="Z43" s="68" t="s">
        <v>48</v>
      </c>
      <c r="AA43" s="68" t="s">
        <v>48</v>
      </c>
      <c r="AB43" s="16"/>
      <c r="AC43" s="68" t="s">
        <v>48</v>
      </c>
      <c r="AD43" s="68" t="s">
        <v>48</v>
      </c>
      <c r="AE43" s="68" t="s">
        <v>48</v>
      </c>
      <c r="AF43" s="68" t="s">
        <v>48</v>
      </c>
      <c r="AG43" s="68" t="s">
        <v>48</v>
      </c>
      <c r="AH43" s="68" t="s">
        <v>48</v>
      </c>
      <c r="AI43" s="16"/>
      <c r="AJ43" s="68"/>
      <c r="AK43" s="12">
        <f t="shared" si="0"/>
        <v>24</v>
      </c>
      <c r="AL43" s="12">
        <f t="shared" si="1"/>
        <v>1</v>
      </c>
      <c r="AM43" s="12">
        <f t="shared" si="2"/>
        <v>0</v>
      </c>
      <c r="AN43" s="12">
        <f t="shared" si="3"/>
        <v>0</v>
      </c>
      <c r="AO43" s="12">
        <f t="shared" si="4"/>
        <v>25</v>
      </c>
      <c r="AP43" s="96">
        <f t="shared" si="5"/>
        <v>25</v>
      </c>
    </row>
    <row r="44" spans="1:42">
      <c r="A44" s="8">
        <v>37</v>
      </c>
      <c r="B44" s="8" t="s">
        <v>41</v>
      </c>
      <c r="C44" s="21" t="s">
        <v>177</v>
      </c>
      <c r="D44" s="21" t="s">
        <v>143</v>
      </c>
      <c r="E44" s="21" t="s">
        <v>147</v>
      </c>
      <c r="F44" s="68" t="s">
        <v>48</v>
      </c>
      <c r="G44" s="16"/>
      <c r="H44" s="68" t="s">
        <v>48</v>
      </c>
      <c r="I44" s="68" t="s">
        <v>48</v>
      </c>
      <c r="J44" s="68" t="s">
        <v>48</v>
      </c>
      <c r="K44" s="68" t="s">
        <v>48</v>
      </c>
      <c r="L44" s="68" t="s">
        <v>48</v>
      </c>
      <c r="M44" s="68" t="s">
        <v>48</v>
      </c>
      <c r="N44" s="16"/>
      <c r="O44" s="68" t="s">
        <v>48</v>
      </c>
      <c r="P44" s="68" t="s">
        <v>48</v>
      </c>
      <c r="Q44" s="68" t="s">
        <v>48</v>
      </c>
      <c r="R44" s="68" t="s">
        <v>48</v>
      </c>
      <c r="S44" s="68" t="s">
        <v>48</v>
      </c>
      <c r="T44" s="68" t="s">
        <v>48</v>
      </c>
      <c r="U44" s="16"/>
      <c r="V44" s="68" t="s">
        <v>48</v>
      </c>
      <c r="W44" s="68" t="s">
        <v>48</v>
      </c>
      <c r="X44" s="68" t="s">
        <v>48</v>
      </c>
      <c r="Y44" s="68" t="s">
        <v>48</v>
      </c>
      <c r="Z44" s="68" t="s">
        <v>48</v>
      </c>
      <c r="AA44" s="68" t="s">
        <v>50</v>
      </c>
      <c r="AB44" s="16"/>
      <c r="AC44" s="68" t="s">
        <v>48</v>
      </c>
      <c r="AD44" s="68" t="s">
        <v>48</v>
      </c>
      <c r="AE44" s="68" t="s">
        <v>48</v>
      </c>
      <c r="AF44" s="68" t="s">
        <v>48</v>
      </c>
      <c r="AG44" s="68" t="s">
        <v>48</v>
      </c>
      <c r="AH44" s="68" t="s">
        <v>48</v>
      </c>
      <c r="AI44" s="16"/>
      <c r="AJ44" s="68"/>
      <c r="AK44" s="12">
        <f t="shared" si="0"/>
        <v>24</v>
      </c>
      <c r="AL44" s="12">
        <f t="shared" si="1"/>
        <v>1</v>
      </c>
      <c r="AM44" s="12">
        <f t="shared" si="2"/>
        <v>0</v>
      </c>
      <c r="AN44" s="12">
        <f t="shared" si="3"/>
        <v>0</v>
      </c>
      <c r="AO44" s="12">
        <f t="shared" si="4"/>
        <v>25</v>
      </c>
      <c r="AP44" s="96">
        <f t="shared" si="5"/>
        <v>25</v>
      </c>
    </row>
    <row r="45" spans="1:42">
      <c r="A45" s="8">
        <v>38</v>
      </c>
      <c r="B45" s="8" t="s">
        <v>42</v>
      </c>
      <c r="C45" s="21" t="s">
        <v>176</v>
      </c>
      <c r="D45" s="21" t="s">
        <v>143</v>
      </c>
      <c r="E45" s="21" t="s">
        <v>147</v>
      </c>
      <c r="F45" s="68" t="s">
        <v>48</v>
      </c>
      <c r="G45" s="16"/>
      <c r="H45" s="68" t="s">
        <v>48</v>
      </c>
      <c r="I45" s="68" t="s">
        <v>48</v>
      </c>
      <c r="J45" s="68" t="s">
        <v>48</v>
      </c>
      <c r="K45" s="68" t="s">
        <v>48</v>
      </c>
      <c r="L45" s="68" t="s">
        <v>48</v>
      </c>
      <c r="M45" s="68" t="s">
        <v>48</v>
      </c>
      <c r="N45" s="16"/>
      <c r="O45" s="68" t="s">
        <v>48</v>
      </c>
      <c r="P45" s="68" t="s">
        <v>48</v>
      </c>
      <c r="Q45" s="68" t="s">
        <v>48</v>
      </c>
      <c r="R45" s="68" t="s">
        <v>48</v>
      </c>
      <c r="S45" s="68" t="s">
        <v>48</v>
      </c>
      <c r="T45" s="68" t="s">
        <v>48</v>
      </c>
      <c r="U45" s="16"/>
      <c r="V45" s="68" t="s">
        <v>48</v>
      </c>
      <c r="W45" s="68" t="s">
        <v>48</v>
      </c>
      <c r="X45" s="68" t="s">
        <v>48</v>
      </c>
      <c r="Y45" s="68" t="s">
        <v>48</v>
      </c>
      <c r="Z45" s="68" t="s">
        <v>48</v>
      </c>
      <c r="AA45" s="68" t="s">
        <v>48</v>
      </c>
      <c r="AB45" s="16"/>
      <c r="AC45" s="68" t="s">
        <v>48</v>
      </c>
      <c r="AD45" s="68" t="s">
        <v>48</v>
      </c>
      <c r="AE45" s="68" t="s">
        <v>48</v>
      </c>
      <c r="AF45" s="68" t="s">
        <v>48</v>
      </c>
      <c r="AG45" s="68" t="s">
        <v>48</v>
      </c>
      <c r="AH45" s="68" t="s">
        <v>48</v>
      </c>
      <c r="AI45" s="16"/>
      <c r="AJ45" s="68"/>
      <c r="AK45" s="12">
        <f t="shared" si="0"/>
        <v>25</v>
      </c>
      <c r="AL45" s="12">
        <f t="shared" si="1"/>
        <v>0</v>
      </c>
      <c r="AM45" s="12">
        <f t="shared" si="2"/>
        <v>0</v>
      </c>
      <c r="AN45" s="12">
        <f t="shared" si="3"/>
        <v>0</v>
      </c>
      <c r="AO45" s="12">
        <f t="shared" si="4"/>
        <v>25</v>
      </c>
      <c r="AP45" s="96">
        <f t="shared" si="5"/>
        <v>25</v>
      </c>
    </row>
    <row r="46" spans="1:42">
      <c r="A46" s="8">
        <v>39</v>
      </c>
      <c r="B46" s="8" t="s">
        <v>43</v>
      </c>
      <c r="C46" s="21" t="s">
        <v>180</v>
      </c>
      <c r="D46" s="21" t="s">
        <v>145</v>
      </c>
      <c r="E46" s="21" t="s">
        <v>146</v>
      </c>
      <c r="F46" s="68" t="s">
        <v>48</v>
      </c>
      <c r="G46" s="16"/>
      <c r="H46" s="68" t="s">
        <v>48</v>
      </c>
      <c r="I46" s="68" t="s">
        <v>48</v>
      </c>
      <c r="J46" s="68" t="s">
        <v>48</v>
      </c>
      <c r="K46" s="68" t="s">
        <v>48</v>
      </c>
      <c r="L46" s="68" t="s">
        <v>48</v>
      </c>
      <c r="M46" s="68" t="s">
        <v>50</v>
      </c>
      <c r="N46" s="16"/>
      <c r="O46" s="68" t="s">
        <v>53</v>
      </c>
      <c r="P46" s="68" t="s">
        <v>55</v>
      </c>
      <c r="Q46" s="68" t="s">
        <v>48</v>
      </c>
      <c r="R46" s="68" t="s">
        <v>48</v>
      </c>
      <c r="S46" s="68" t="s">
        <v>48</v>
      </c>
      <c r="T46" s="68" t="s">
        <v>48</v>
      </c>
      <c r="U46" s="16"/>
      <c r="V46" s="68" t="s">
        <v>48</v>
      </c>
      <c r="W46" s="68" t="s">
        <v>48</v>
      </c>
      <c r="X46" s="68" t="s">
        <v>48</v>
      </c>
      <c r="Y46" s="68" t="s">
        <v>48</v>
      </c>
      <c r="Z46" s="68" t="s">
        <v>48</v>
      </c>
      <c r="AA46" s="68" t="s">
        <v>48</v>
      </c>
      <c r="AB46" s="16"/>
      <c r="AC46" s="68" t="s">
        <v>48</v>
      </c>
      <c r="AD46" s="68" t="s">
        <v>48</v>
      </c>
      <c r="AE46" s="68" t="s">
        <v>48</v>
      </c>
      <c r="AF46" s="68" t="s">
        <v>48</v>
      </c>
      <c r="AG46" s="68" t="s">
        <v>48</v>
      </c>
      <c r="AH46" s="68" t="s">
        <v>48</v>
      </c>
      <c r="AI46" s="16"/>
      <c r="AJ46" s="68"/>
      <c r="AK46" s="12">
        <f t="shared" si="0"/>
        <v>22</v>
      </c>
      <c r="AL46" s="12">
        <f t="shared" si="1"/>
        <v>1</v>
      </c>
      <c r="AM46" s="12">
        <f t="shared" si="2"/>
        <v>1</v>
      </c>
      <c r="AN46" s="12">
        <f t="shared" si="3"/>
        <v>0.5</v>
      </c>
      <c r="AO46" s="12">
        <f t="shared" si="4"/>
        <v>21.5</v>
      </c>
      <c r="AP46" s="96">
        <f t="shared" si="5"/>
        <v>25</v>
      </c>
    </row>
    <row r="47" spans="1:42">
      <c r="A47" s="8">
        <v>40</v>
      </c>
      <c r="B47" s="8" t="s">
        <v>44</v>
      </c>
      <c r="C47" s="21" t="s">
        <v>181</v>
      </c>
      <c r="D47" s="21" t="s">
        <v>149</v>
      </c>
      <c r="E47" s="21" t="s">
        <v>127</v>
      </c>
      <c r="F47" s="68" t="s">
        <v>48</v>
      </c>
      <c r="G47" s="17"/>
      <c r="H47" s="68" t="s">
        <v>48</v>
      </c>
      <c r="I47" s="68" t="s">
        <v>48</v>
      </c>
      <c r="J47" s="68" t="s">
        <v>48</v>
      </c>
      <c r="K47" s="68" t="s">
        <v>48</v>
      </c>
      <c r="L47" s="68" t="s">
        <v>48</v>
      </c>
      <c r="M47" s="68" t="s">
        <v>48</v>
      </c>
      <c r="N47" s="17"/>
      <c r="O47" s="68" t="s">
        <v>48</v>
      </c>
      <c r="P47" s="68" t="s">
        <v>48</v>
      </c>
      <c r="Q47" s="68" t="s">
        <v>48</v>
      </c>
      <c r="R47" s="68" t="s">
        <v>48</v>
      </c>
      <c r="S47" s="68" t="s">
        <v>48</v>
      </c>
      <c r="T47" s="68" t="s">
        <v>48</v>
      </c>
      <c r="U47" s="17"/>
      <c r="V47" s="68" t="s">
        <v>48</v>
      </c>
      <c r="W47" s="68" t="s">
        <v>48</v>
      </c>
      <c r="X47" s="68" t="s">
        <v>48</v>
      </c>
      <c r="Y47" s="68" t="s">
        <v>48</v>
      </c>
      <c r="Z47" s="68" t="s">
        <v>48</v>
      </c>
      <c r="AA47" s="68" t="s">
        <v>48</v>
      </c>
      <c r="AB47" s="17"/>
      <c r="AC47" s="68" t="s">
        <v>48</v>
      </c>
      <c r="AD47" s="68" t="s">
        <v>48</v>
      </c>
      <c r="AE47" s="68" t="s">
        <v>48</v>
      </c>
      <c r="AF47" s="68" t="s">
        <v>48</v>
      </c>
      <c r="AG47" s="68" t="s">
        <v>53</v>
      </c>
      <c r="AH47" s="68" t="s">
        <v>53</v>
      </c>
      <c r="AI47" s="17"/>
      <c r="AJ47" s="68"/>
      <c r="AK47" s="12">
        <f t="shared" si="0"/>
        <v>23</v>
      </c>
      <c r="AL47" s="12">
        <f t="shared" si="1"/>
        <v>0</v>
      </c>
      <c r="AM47" s="12">
        <f t="shared" si="2"/>
        <v>2</v>
      </c>
      <c r="AN47" s="12">
        <f t="shared" si="3"/>
        <v>0</v>
      </c>
      <c r="AO47" s="12">
        <f t="shared" si="4"/>
        <v>21</v>
      </c>
      <c r="AP47" s="96">
        <f t="shared" si="5"/>
        <v>25</v>
      </c>
    </row>
  </sheetData>
  <mergeCells count="3">
    <mergeCell ref="F1:AI1"/>
    <mergeCell ref="F2:H2"/>
    <mergeCell ref="O2:AI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46"/>
  <sheetViews>
    <sheetView workbookViewId="0">
      <selection activeCell="X8" sqref="X8"/>
    </sheetView>
  </sheetViews>
  <sheetFormatPr defaultRowHeight="15"/>
  <cols>
    <col min="3" max="3" width="19" customWidth="1"/>
    <col min="4" max="4" width="18.42578125" customWidth="1"/>
    <col min="5" max="5" width="20" customWidth="1"/>
    <col min="6" max="6" width="11.5703125" bestFit="1" customWidth="1"/>
    <col min="7" max="9" width="11.7109375" bestFit="1" customWidth="1"/>
    <col min="10" max="10" width="10.7109375" bestFit="1" customWidth="1"/>
    <col min="11" max="12" width="12.85546875" customWidth="1"/>
    <col min="13" max="13" width="10.140625" customWidth="1"/>
    <col min="14" max="14" width="10.85546875" customWidth="1"/>
    <col min="15" max="15" width="9.42578125" bestFit="1" customWidth="1"/>
    <col min="16" max="16" width="11.7109375" bestFit="1" customWidth="1"/>
    <col min="17" max="17" width="10.7109375" bestFit="1" customWidth="1"/>
    <col min="18" max="18" width="9.7109375" bestFit="1" customWidth="1"/>
    <col min="19" max="20" width="10.7109375" bestFit="1" customWidth="1"/>
    <col min="21" max="21" width="11.28515625" customWidth="1"/>
    <col min="22" max="22" width="11.7109375" bestFit="1" customWidth="1"/>
  </cols>
  <sheetData>
    <row r="1" spans="1:22" ht="18.75">
      <c r="B1" s="19" t="s">
        <v>191</v>
      </c>
      <c r="C1" s="19"/>
      <c r="D1" s="19"/>
      <c r="E1" s="67" t="str">
        <f>+Attendence!F1</f>
        <v>ABC CO LTD</v>
      </c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>
      <c r="D2" s="2" t="s">
        <v>73</v>
      </c>
      <c r="E2" s="66">
        <f>Attendence!F2</f>
        <v>43344</v>
      </c>
      <c r="F2" s="65"/>
      <c r="G2" s="65"/>
      <c r="H2" s="64"/>
      <c r="I2" s="65"/>
      <c r="J2" s="65"/>
    </row>
    <row r="4" spans="1:22" ht="4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8" t="s">
        <v>57</v>
      </c>
      <c r="G4" s="18" t="s">
        <v>58</v>
      </c>
      <c r="H4" s="18" t="s">
        <v>59</v>
      </c>
      <c r="I4" s="18" t="s">
        <v>60</v>
      </c>
      <c r="J4" s="18" t="s">
        <v>61</v>
      </c>
      <c r="K4" s="18" t="s">
        <v>62</v>
      </c>
      <c r="L4" s="18" t="s">
        <v>67</v>
      </c>
      <c r="M4" s="18" t="s">
        <v>63</v>
      </c>
      <c r="N4" s="18" t="s">
        <v>64</v>
      </c>
      <c r="O4" s="18" t="s">
        <v>65</v>
      </c>
      <c r="P4" s="18" t="s">
        <v>66</v>
      </c>
      <c r="Q4" s="18" t="s">
        <v>68</v>
      </c>
      <c r="R4" s="18" t="s">
        <v>69</v>
      </c>
      <c r="S4" s="18" t="s">
        <v>70</v>
      </c>
      <c r="T4" s="18" t="s">
        <v>83</v>
      </c>
      <c r="U4" s="18" t="s">
        <v>71</v>
      </c>
      <c r="V4" s="18" t="s">
        <v>72</v>
      </c>
    </row>
    <row r="5" spans="1:22">
      <c r="A5" s="8">
        <f>+Attendence!A8</f>
        <v>1</v>
      </c>
      <c r="B5" s="8" t="str">
        <f>+Attendence!B8</f>
        <v>EMP001</v>
      </c>
      <c r="C5" s="8" t="str">
        <f>+Attendence!C8</f>
        <v>FRINCE K FRANCIS</v>
      </c>
      <c r="D5" s="8" t="str">
        <f>+Attendence!D8</f>
        <v>General Manager</v>
      </c>
      <c r="E5" s="8" t="str">
        <f>+Attendence!E8</f>
        <v>Administration</v>
      </c>
      <c r="F5" s="121">
        <v>40000</v>
      </c>
      <c r="G5" s="122">
        <f>+F5*(Attendence!AO8/Attendence!AP8)</f>
        <v>40000</v>
      </c>
      <c r="H5" s="122">
        <f>+G5*40%</f>
        <v>16000</v>
      </c>
      <c r="I5" s="122">
        <f>+G5*20/100</f>
        <v>8000</v>
      </c>
      <c r="J5" s="122">
        <f>+G5*15/100</f>
        <v>6000</v>
      </c>
      <c r="K5" s="122">
        <f>+G5*9/100</f>
        <v>3600</v>
      </c>
      <c r="L5" s="122">
        <f>+G5*7/100</f>
        <v>2800</v>
      </c>
      <c r="M5" s="122">
        <f>+G5*5/100</f>
        <v>2000</v>
      </c>
      <c r="N5" s="122">
        <f>+G5*4/100</f>
        <v>1600</v>
      </c>
      <c r="O5" s="122"/>
      <c r="P5" s="122">
        <f>+SUM(H5:O5)</f>
        <v>40000</v>
      </c>
      <c r="Q5" s="122">
        <f>(H5+I5)*12.5%</f>
        <v>3000</v>
      </c>
      <c r="R5" s="122">
        <f>IF(F5&lt;21000,P5*1.75%,0)</f>
        <v>0</v>
      </c>
      <c r="S5" s="121">
        <v>6000</v>
      </c>
      <c r="T5" s="121">
        <v>2500</v>
      </c>
      <c r="U5" s="121">
        <v>898</v>
      </c>
      <c r="V5" s="123">
        <f>+P5-Q5-R5-S5-T5-U5</f>
        <v>27602</v>
      </c>
    </row>
    <row r="6" spans="1:22">
      <c r="A6" s="8">
        <f>+Attendence!A9</f>
        <v>2</v>
      </c>
      <c r="B6" s="8" t="str">
        <f>+Attendence!B9</f>
        <v>EMP002</v>
      </c>
      <c r="C6" s="8" t="str">
        <f>+Attendence!C9</f>
        <v>VINOD P V</v>
      </c>
      <c r="D6" s="8" t="str">
        <f>+Attendence!D9</f>
        <v>Manager - Sales</v>
      </c>
      <c r="E6" s="8" t="str">
        <f>+Attendence!E9</f>
        <v>Sales</v>
      </c>
      <c r="F6" s="121">
        <v>32000</v>
      </c>
      <c r="G6" s="122">
        <f>+F6*(Attendence!AO9/Attendence!AP9)</f>
        <v>30080</v>
      </c>
      <c r="H6" s="122">
        <f t="shared" ref="H6:H44" si="0">+G6*40%</f>
        <v>12032</v>
      </c>
      <c r="I6" s="122">
        <f t="shared" ref="I6:I44" si="1">+G6*20/100</f>
        <v>6016</v>
      </c>
      <c r="J6" s="122">
        <f t="shared" ref="J6:J44" si="2">+G6*15/100</f>
        <v>4512</v>
      </c>
      <c r="K6" s="122">
        <f t="shared" ref="K6:K44" si="3">+G6*9/100</f>
        <v>2707.2</v>
      </c>
      <c r="L6" s="122">
        <f t="shared" ref="L6:L44" si="4">+G6*7/100</f>
        <v>2105.6</v>
      </c>
      <c r="M6" s="122">
        <f t="shared" ref="M6:M44" si="5">+G6*5/100</f>
        <v>1504</v>
      </c>
      <c r="N6" s="122">
        <f t="shared" ref="N6:N44" si="6">+G6*4/100</f>
        <v>1203.2</v>
      </c>
      <c r="O6" s="122"/>
      <c r="P6" s="122">
        <f t="shared" ref="P6:P44" si="7">+SUM(H6:O6)</f>
        <v>30080</v>
      </c>
      <c r="Q6" s="122">
        <f t="shared" ref="Q6:Q44" si="8">(H6+I6)*12.5%</f>
        <v>2256</v>
      </c>
      <c r="R6" s="122">
        <f t="shared" ref="R6:R44" si="9">IF(F6&lt;21000,P6*1.75%,0)</f>
        <v>0</v>
      </c>
      <c r="S6" s="121"/>
      <c r="T6" s="121">
        <v>1500</v>
      </c>
      <c r="U6" s="121"/>
      <c r="V6" s="123">
        <f t="shared" ref="V6:V44" si="10">+P6-Q6-R6-S6-T6-U6</f>
        <v>26324</v>
      </c>
    </row>
    <row r="7" spans="1:22">
      <c r="A7" s="8">
        <f>+Attendence!A10</f>
        <v>3</v>
      </c>
      <c r="B7" s="8" t="str">
        <f>+Attendence!B10</f>
        <v>EMP003</v>
      </c>
      <c r="C7" s="8" t="str">
        <f>+Attendence!C10</f>
        <v>SHAHUL HAMEED P S</v>
      </c>
      <c r="D7" s="8" t="str">
        <f>+Attendence!D10</f>
        <v>ASM Sales - A</v>
      </c>
      <c r="E7" s="8" t="str">
        <f>+Attendence!E10</f>
        <v>Sales</v>
      </c>
      <c r="F7" s="121">
        <v>28000</v>
      </c>
      <c r="G7" s="122">
        <f>+F7*(Attendence!AO10/Attendence!AP10)</f>
        <v>25760</v>
      </c>
      <c r="H7" s="122">
        <f t="shared" si="0"/>
        <v>10304</v>
      </c>
      <c r="I7" s="122">
        <f t="shared" si="1"/>
        <v>5152</v>
      </c>
      <c r="J7" s="122">
        <f t="shared" si="2"/>
        <v>3864</v>
      </c>
      <c r="K7" s="122">
        <f t="shared" si="3"/>
        <v>2318.4</v>
      </c>
      <c r="L7" s="122">
        <f t="shared" si="4"/>
        <v>1803.2</v>
      </c>
      <c r="M7" s="122">
        <f t="shared" si="5"/>
        <v>1288</v>
      </c>
      <c r="N7" s="122">
        <f t="shared" si="6"/>
        <v>1030.4000000000001</v>
      </c>
      <c r="O7" s="122"/>
      <c r="P7" s="122">
        <f t="shared" si="7"/>
        <v>25760.000000000004</v>
      </c>
      <c r="Q7" s="122">
        <f t="shared" si="8"/>
        <v>1932</v>
      </c>
      <c r="R7" s="122">
        <f t="shared" si="9"/>
        <v>0</v>
      </c>
      <c r="S7" s="121">
        <v>1500</v>
      </c>
      <c r="T7" s="121"/>
      <c r="U7" s="121"/>
      <c r="V7" s="123">
        <f t="shared" si="10"/>
        <v>22328.000000000004</v>
      </c>
    </row>
    <row r="8" spans="1:22">
      <c r="A8" s="8">
        <f>+Attendence!A11</f>
        <v>4</v>
      </c>
      <c r="B8" s="8" t="str">
        <f>+Attendence!B11</f>
        <v>EMP004</v>
      </c>
      <c r="C8" s="8" t="str">
        <f>+Attendence!C11</f>
        <v>SURESH P</v>
      </c>
      <c r="D8" s="8" t="str">
        <f>+Attendence!D11</f>
        <v>ASM Sales - B</v>
      </c>
      <c r="E8" s="8" t="str">
        <f>+Attendence!E11</f>
        <v>Sales</v>
      </c>
      <c r="F8" s="121">
        <v>28000</v>
      </c>
      <c r="G8" s="122">
        <f>+F8*(Attendence!AO11/Attendence!AP11)</f>
        <v>28000</v>
      </c>
      <c r="H8" s="122">
        <f t="shared" si="0"/>
        <v>11200</v>
      </c>
      <c r="I8" s="122">
        <f t="shared" si="1"/>
        <v>5600</v>
      </c>
      <c r="J8" s="122">
        <f t="shared" si="2"/>
        <v>4200</v>
      </c>
      <c r="K8" s="122">
        <f t="shared" si="3"/>
        <v>2520</v>
      </c>
      <c r="L8" s="122">
        <f t="shared" si="4"/>
        <v>1960</v>
      </c>
      <c r="M8" s="122">
        <f t="shared" si="5"/>
        <v>1400</v>
      </c>
      <c r="N8" s="122">
        <f t="shared" si="6"/>
        <v>1120</v>
      </c>
      <c r="O8" s="122"/>
      <c r="P8" s="122">
        <f t="shared" si="7"/>
        <v>28000</v>
      </c>
      <c r="Q8" s="122">
        <f t="shared" si="8"/>
        <v>2100</v>
      </c>
      <c r="R8" s="122">
        <f t="shared" si="9"/>
        <v>0</v>
      </c>
      <c r="S8" s="121"/>
      <c r="T8" s="121"/>
      <c r="U8" s="121"/>
      <c r="V8" s="123">
        <f t="shared" si="10"/>
        <v>25900</v>
      </c>
    </row>
    <row r="9" spans="1:22">
      <c r="A9" s="8">
        <f>+Attendence!A12</f>
        <v>5</v>
      </c>
      <c r="B9" s="8" t="str">
        <f>+Attendence!B12</f>
        <v>EMP005</v>
      </c>
      <c r="C9" s="8" t="str">
        <f>+Attendence!C12</f>
        <v>DILEEP T K</v>
      </c>
      <c r="D9" s="8" t="str">
        <f>+Attendence!D12</f>
        <v>TL Sales - A</v>
      </c>
      <c r="E9" s="8" t="str">
        <f>+Attendence!E12</f>
        <v>Sales</v>
      </c>
      <c r="F9" s="121">
        <v>22000</v>
      </c>
      <c r="G9" s="122">
        <f>+F9*(Attendence!AO12/Attendence!AP12)</f>
        <v>22000</v>
      </c>
      <c r="H9" s="122">
        <f t="shared" si="0"/>
        <v>8800</v>
      </c>
      <c r="I9" s="122">
        <f t="shared" si="1"/>
        <v>4400</v>
      </c>
      <c r="J9" s="122">
        <f t="shared" si="2"/>
        <v>3300</v>
      </c>
      <c r="K9" s="122">
        <f t="shared" si="3"/>
        <v>1980</v>
      </c>
      <c r="L9" s="122">
        <f t="shared" si="4"/>
        <v>1540</v>
      </c>
      <c r="M9" s="122">
        <f t="shared" si="5"/>
        <v>1100</v>
      </c>
      <c r="N9" s="122">
        <f t="shared" si="6"/>
        <v>880</v>
      </c>
      <c r="O9" s="122"/>
      <c r="P9" s="122">
        <f t="shared" si="7"/>
        <v>22000</v>
      </c>
      <c r="Q9" s="122">
        <f t="shared" si="8"/>
        <v>1650</v>
      </c>
      <c r="R9" s="122">
        <f t="shared" si="9"/>
        <v>0</v>
      </c>
      <c r="S9" s="121">
        <v>1000</v>
      </c>
      <c r="T9" s="121"/>
      <c r="U9" s="121">
        <v>559</v>
      </c>
      <c r="V9" s="123">
        <f t="shared" si="10"/>
        <v>18791</v>
      </c>
    </row>
    <row r="10" spans="1:22">
      <c r="A10" s="8">
        <f>+Attendence!A13</f>
        <v>6</v>
      </c>
      <c r="B10" s="8" t="str">
        <f>+Attendence!B13</f>
        <v>EMP006</v>
      </c>
      <c r="C10" s="8" t="str">
        <f>+Attendence!C13</f>
        <v>PRASANTH V</v>
      </c>
      <c r="D10" s="8" t="str">
        <f>+Attendence!D13</f>
        <v>TL Sales - B</v>
      </c>
      <c r="E10" s="8" t="str">
        <f>+Attendence!E13</f>
        <v>Sales</v>
      </c>
      <c r="F10" s="121">
        <v>22000</v>
      </c>
      <c r="G10" s="122">
        <f>+F10*(Attendence!AO13/Attendence!AP13)</f>
        <v>20240</v>
      </c>
      <c r="H10" s="122">
        <f t="shared" si="0"/>
        <v>8096</v>
      </c>
      <c r="I10" s="122">
        <f t="shared" si="1"/>
        <v>4048</v>
      </c>
      <c r="J10" s="122">
        <f t="shared" si="2"/>
        <v>3036</v>
      </c>
      <c r="K10" s="122">
        <f t="shared" si="3"/>
        <v>1821.6</v>
      </c>
      <c r="L10" s="122">
        <f t="shared" si="4"/>
        <v>1416.8</v>
      </c>
      <c r="M10" s="122">
        <f t="shared" si="5"/>
        <v>1012</v>
      </c>
      <c r="N10" s="122">
        <f t="shared" si="6"/>
        <v>809.6</v>
      </c>
      <c r="O10" s="122"/>
      <c r="P10" s="122">
        <f t="shared" si="7"/>
        <v>20239.999999999996</v>
      </c>
      <c r="Q10" s="122">
        <f t="shared" si="8"/>
        <v>1518</v>
      </c>
      <c r="R10" s="122">
        <f t="shared" si="9"/>
        <v>0</v>
      </c>
      <c r="S10" s="121"/>
      <c r="T10" s="121"/>
      <c r="U10" s="121"/>
      <c r="V10" s="123">
        <f t="shared" si="10"/>
        <v>18721.999999999996</v>
      </c>
    </row>
    <row r="11" spans="1:22">
      <c r="A11" s="8">
        <f>+Attendence!A14</f>
        <v>7</v>
      </c>
      <c r="B11" s="8" t="str">
        <f>+Attendence!B14</f>
        <v>EMP007</v>
      </c>
      <c r="C11" s="8" t="str">
        <f>+Attendence!C14</f>
        <v>ABDUL HAKEEM T M</v>
      </c>
      <c r="D11" s="8" t="str">
        <f>+Attendence!D14</f>
        <v>TL Sales - A</v>
      </c>
      <c r="E11" s="8" t="str">
        <f>+Attendence!E14</f>
        <v>Sales</v>
      </c>
      <c r="F11" s="121">
        <v>22000</v>
      </c>
      <c r="G11" s="122">
        <f>+F11*(Attendence!AO14/Attendence!AP14)</f>
        <v>22000</v>
      </c>
      <c r="H11" s="122">
        <f t="shared" si="0"/>
        <v>8800</v>
      </c>
      <c r="I11" s="122">
        <f t="shared" si="1"/>
        <v>4400</v>
      </c>
      <c r="J11" s="122">
        <f t="shared" si="2"/>
        <v>3300</v>
      </c>
      <c r="K11" s="122">
        <f t="shared" si="3"/>
        <v>1980</v>
      </c>
      <c r="L11" s="122">
        <f t="shared" si="4"/>
        <v>1540</v>
      </c>
      <c r="M11" s="122">
        <f t="shared" si="5"/>
        <v>1100</v>
      </c>
      <c r="N11" s="122">
        <f t="shared" si="6"/>
        <v>880</v>
      </c>
      <c r="O11" s="122"/>
      <c r="P11" s="122">
        <f t="shared" si="7"/>
        <v>22000</v>
      </c>
      <c r="Q11" s="122">
        <f t="shared" si="8"/>
        <v>1650</v>
      </c>
      <c r="R11" s="122">
        <f t="shared" si="9"/>
        <v>0</v>
      </c>
      <c r="S11" s="121"/>
      <c r="T11" s="121"/>
      <c r="U11" s="121"/>
      <c r="V11" s="123">
        <f t="shared" si="10"/>
        <v>20350</v>
      </c>
    </row>
    <row r="12" spans="1:22">
      <c r="A12" s="8">
        <f>+Attendence!A15</f>
        <v>8</v>
      </c>
      <c r="B12" s="8" t="str">
        <f>+Attendence!B15</f>
        <v>EMP008</v>
      </c>
      <c r="C12" s="8" t="str">
        <f>+Attendence!C15</f>
        <v>PRADEEP KUMAR P</v>
      </c>
      <c r="D12" s="8" t="str">
        <f>+Attendence!D15</f>
        <v>TL Sales - B</v>
      </c>
      <c r="E12" s="8" t="str">
        <f>+Attendence!E15</f>
        <v>Sales</v>
      </c>
      <c r="F12" s="121">
        <v>22000</v>
      </c>
      <c r="G12" s="122">
        <f>+F12*(Attendence!AO15/Attendence!AP15)</f>
        <v>20240</v>
      </c>
      <c r="H12" s="122">
        <f t="shared" si="0"/>
        <v>8096</v>
      </c>
      <c r="I12" s="122">
        <f t="shared" si="1"/>
        <v>4048</v>
      </c>
      <c r="J12" s="122">
        <f t="shared" si="2"/>
        <v>3036</v>
      </c>
      <c r="K12" s="122">
        <f t="shared" si="3"/>
        <v>1821.6</v>
      </c>
      <c r="L12" s="122">
        <f t="shared" si="4"/>
        <v>1416.8</v>
      </c>
      <c r="M12" s="122">
        <f t="shared" si="5"/>
        <v>1012</v>
      </c>
      <c r="N12" s="122">
        <f t="shared" si="6"/>
        <v>809.6</v>
      </c>
      <c r="O12" s="122"/>
      <c r="P12" s="122">
        <f t="shared" si="7"/>
        <v>20239.999999999996</v>
      </c>
      <c r="Q12" s="122">
        <f t="shared" si="8"/>
        <v>1518</v>
      </c>
      <c r="R12" s="122">
        <f t="shared" si="9"/>
        <v>0</v>
      </c>
      <c r="S12" s="121"/>
      <c r="T12" s="121">
        <v>2000</v>
      </c>
      <c r="U12" s="121"/>
      <c r="V12" s="123">
        <f t="shared" si="10"/>
        <v>16721.999999999996</v>
      </c>
    </row>
    <row r="13" spans="1:22">
      <c r="A13" s="8">
        <f>+Attendence!A16</f>
        <v>9</v>
      </c>
      <c r="B13" s="8" t="str">
        <f>+Attendence!B16</f>
        <v>EMP009</v>
      </c>
      <c r="C13" s="8" t="str">
        <f>+Attendence!C16</f>
        <v>PEETHAMBARAN T</v>
      </c>
      <c r="D13" s="8" t="str">
        <f>+Attendence!D16</f>
        <v>Senior Sales Executive</v>
      </c>
      <c r="E13" s="8" t="str">
        <f>+Attendence!E16</f>
        <v>Sales</v>
      </c>
      <c r="F13" s="121">
        <v>16000</v>
      </c>
      <c r="G13" s="122">
        <f>+F13*(Attendence!AO16/Attendence!AP16)</f>
        <v>16000</v>
      </c>
      <c r="H13" s="122">
        <f t="shared" si="0"/>
        <v>6400</v>
      </c>
      <c r="I13" s="122">
        <f t="shared" si="1"/>
        <v>3200</v>
      </c>
      <c r="J13" s="122">
        <f t="shared" si="2"/>
        <v>2400</v>
      </c>
      <c r="K13" s="122">
        <f t="shared" si="3"/>
        <v>1440</v>
      </c>
      <c r="L13" s="122">
        <f t="shared" si="4"/>
        <v>1120</v>
      </c>
      <c r="M13" s="122">
        <f t="shared" si="5"/>
        <v>800</v>
      </c>
      <c r="N13" s="122">
        <f t="shared" si="6"/>
        <v>640</v>
      </c>
      <c r="O13" s="122"/>
      <c r="P13" s="122">
        <f t="shared" si="7"/>
        <v>16000</v>
      </c>
      <c r="Q13" s="122">
        <f t="shared" si="8"/>
        <v>1200</v>
      </c>
      <c r="R13" s="122">
        <f t="shared" si="9"/>
        <v>280</v>
      </c>
      <c r="S13" s="121"/>
      <c r="T13" s="121"/>
      <c r="U13" s="121"/>
      <c r="V13" s="123">
        <f t="shared" si="10"/>
        <v>14520</v>
      </c>
    </row>
    <row r="14" spans="1:22">
      <c r="A14" s="8">
        <f>+Attendence!A17</f>
        <v>10</v>
      </c>
      <c r="B14" s="8" t="str">
        <f>+Attendence!B17</f>
        <v>EMP010</v>
      </c>
      <c r="C14" s="8" t="str">
        <f>+Attendence!C17</f>
        <v>YASIR M T</v>
      </c>
      <c r="D14" s="8" t="str">
        <f>+Attendence!D17</f>
        <v>Sales Executive</v>
      </c>
      <c r="E14" s="8" t="str">
        <f>+Attendence!E17</f>
        <v>Sales</v>
      </c>
      <c r="F14" s="121">
        <v>12000</v>
      </c>
      <c r="G14" s="122">
        <f>+F14*(Attendence!AO17/Attendence!AP17)</f>
        <v>12000</v>
      </c>
      <c r="H14" s="122">
        <f t="shared" si="0"/>
        <v>4800</v>
      </c>
      <c r="I14" s="122">
        <f t="shared" si="1"/>
        <v>2400</v>
      </c>
      <c r="J14" s="122">
        <f t="shared" si="2"/>
        <v>1800</v>
      </c>
      <c r="K14" s="122">
        <f t="shared" si="3"/>
        <v>1080</v>
      </c>
      <c r="L14" s="122">
        <f t="shared" si="4"/>
        <v>840</v>
      </c>
      <c r="M14" s="122">
        <f t="shared" si="5"/>
        <v>600</v>
      </c>
      <c r="N14" s="122">
        <f t="shared" si="6"/>
        <v>480</v>
      </c>
      <c r="O14" s="122"/>
      <c r="P14" s="122">
        <f t="shared" si="7"/>
        <v>12000</v>
      </c>
      <c r="Q14" s="122">
        <f t="shared" si="8"/>
        <v>900</v>
      </c>
      <c r="R14" s="122">
        <f t="shared" si="9"/>
        <v>210.00000000000003</v>
      </c>
      <c r="S14" s="121"/>
      <c r="T14" s="121"/>
      <c r="U14" s="121">
        <v>900</v>
      </c>
      <c r="V14" s="123">
        <f t="shared" si="10"/>
        <v>9990</v>
      </c>
    </row>
    <row r="15" spans="1:22">
      <c r="A15" s="8">
        <f>+Attendence!A18</f>
        <v>11</v>
      </c>
      <c r="B15" s="8" t="str">
        <f>+Attendence!B18</f>
        <v>EMP011</v>
      </c>
      <c r="C15" s="8" t="str">
        <f>+Attendence!C18</f>
        <v>SIVAPRASAD V V</v>
      </c>
      <c r="D15" s="8" t="str">
        <f>+Attendence!D18</f>
        <v>Senior Sales Executive</v>
      </c>
      <c r="E15" s="8" t="str">
        <f>+Attendence!E18</f>
        <v>Sales</v>
      </c>
      <c r="F15" s="121">
        <v>16000</v>
      </c>
      <c r="G15" s="122">
        <f>+F15*(Attendence!AO18/Attendence!AP18)</f>
        <v>16000</v>
      </c>
      <c r="H15" s="122">
        <f t="shared" si="0"/>
        <v>6400</v>
      </c>
      <c r="I15" s="122">
        <f t="shared" si="1"/>
        <v>3200</v>
      </c>
      <c r="J15" s="122">
        <f t="shared" si="2"/>
        <v>2400</v>
      </c>
      <c r="K15" s="122">
        <f t="shared" si="3"/>
        <v>1440</v>
      </c>
      <c r="L15" s="122">
        <f t="shared" si="4"/>
        <v>1120</v>
      </c>
      <c r="M15" s="122">
        <f t="shared" si="5"/>
        <v>800</v>
      </c>
      <c r="N15" s="122">
        <f t="shared" si="6"/>
        <v>640</v>
      </c>
      <c r="O15" s="122"/>
      <c r="P15" s="122">
        <f t="shared" si="7"/>
        <v>16000</v>
      </c>
      <c r="Q15" s="122">
        <f t="shared" si="8"/>
        <v>1200</v>
      </c>
      <c r="R15" s="122">
        <f t="shared" si="9"/>
        <v>280</v>
      </c>
      <c r="S15" s="121"/>
      <c r="T15" s="121">
        <v>1500</v>
      </c>
      <c r="U15" s="121"/>
      <c r="V15" s="123">
        <f t="shared" si="10"/>
        <v>13020</v>
      </c>
    </row>
    <row r="16" spans="1:22">
      <c r="A16" s="8">
        <f>+Attendence!A19</f>
        <v>12</v>
      </c>
      <c r="B16" s="8" t="str">
        <f>+Attendence!B19</f>
        <v>EMP012</v>
      </c>
      <c r="C16" s="8" t="str">
        <f>+Attendence!C19</f>
        <v>KRISHNA C R</v>
      </c>
      <c r="D16" s="8" t="str">
        <f>+Attendence!D19</f>
        <v>Sales Executive</v>
      </c>
      <c r="E16" s="8" t="str">
        <f>+Attendence!E19</f>
        <v>Sales</v>
      </c>
      <c r="F16" s="121">
        <v>12000</v>
      </c>
      <c r="G16" s="122">
        <f>+F16*(Attendence!AO19/Attendence!AP19)</f>
        <v>11280</v>
      </c>
      <c r="H16" s="122">
        <f t="shared" si="0"/>
        <v>4512</v>
      </c>
      <c r="I16" s="122">
        <f t="shared" si="1"/>
        <v>2256</v>
      </c>
      <c r="J16" s="122">
        <f t="shared" si="2"/>
        <v>1692</v>
      </c>
      <c r="K16" s="122">
        <f t="shared" si="3"/>
        <v>1015.2</v>
      </c>
      <c r="L16" s="122">
        <f t="shared" si="4"/>
        <v>789.6</v>
      </c>
      <c r="M16" s="122">
        <f t="shared" si="5"/>
        <v>564</v>
      </c>
      <c r="N16" s="122">
        <f t="shared" si="6"/>
        <v>451.2</v>
      </c>
      <c r="O16" s="122"/>
      <c r="P16" s="122">
        <f t="shared" si="7"/>
        <v>11280.000000000002</v>
      </c>
      <c r="Q16" s="122">
        <f t="shared" si="8"/>
        <v>846</v>
      </c>
      <c r="R16" s="122">
        <f t="shared" si="9"/>
        <v>197.40000000000006</v>
      </c>
      <c r="S16" s="121"/>
      <c r="T16" s="121"/>
      <c r="U16" s="121"/>
      <c r="V16" s="123">
        <f t="shared" si="10"/>
        <v>10236.600000000002</v>
      </c>
    </row>
    <row r="17" spans="1:22">
      <c r="A17" s="8">
        <f>+Attendence!A20</f>
        <v>13</v>
      </c>
      <c r="B17" s="8" t="str">
        <f>+Attendence!B20</f>
        <v>EMP013</v>
      </c>
      <c r="C17" s="8" t="str">
        <f>+Attendence!C20</f>
        <v>JAYARAJ R</v>
      </c>
      <c r="D17" s="8" t="str">
        <f>+Attendence!D20</f>
        <v>Sales Executive</v>
      </c>
      <c r="E17" s="8" t="str">
        <f>+Attendence!E20</f>
        <v>Sales</v>
      </c>
      <c r="F17" s="121">
        <v>12000</v>
      </c>
      <c r="G17" s="122">
        <f>+F17*(Attendence!AO20/Attendence!AP20)</f>
        <v>12000</v>
      </c>
      <c r="H17" s="122">
        <f t="shared" si="0"/>
        <v>4800</v>
      </c>
      <c r="I17" s="122">
        <f t="shared" si="1"/>
        <v>2400</v>
      </c>
      <c r="J17" s="122">
        <f t="shared" si="2"/>
        <v>1800</v>
      </c>
      <c r="K17" s="122">
        <f t="shared" si="3"/>
        <v>1080</v>
      </c>
      <c r="L17" s="122">
        <f t="shared" si="4"/>
        <v>840</v>
      </c>
      <c r="M17" s="122">
        <f t="shared" si="5"/>
        <v>600</v>
      </c>
      <c r="N17" s="122">
        <f t="shared" si="6"/>
        <v>480</v>
      </c>
      <c r="O17" s="122"/>
      <c r="P17" s="122">
        <f t="shared" si="7"/>
        <v>12000</v>
      </c>
      <c r="Q17" s="122">
        <f t="shared" si="8"/>
        <v>900</v>
      </c>
      <c r="R17" s="122">
        <f t="shared" si="9"/>
        <v>210.00000000000003</v>
      </c>
      <c r="S17" s="121"/>
      <c r="T17" s="121"/>
      <c r="U17" s="121"/>
      <c r="V17" s="123">
        <f t="shared" si="10"/>
        <v>10890</v>
      </c>
    </row>
    <row r="18" spans="1:22">
      <c r="A18" s="8">
        <f>+Attendence!A21</f>
        <v>14</v>
      </c>
      <c r="B18" s="8" t="str">
        <f>+Attendence!B21</f>
        <v>EMP014</v>
      </c>
      <c r="C18" s="8" t="str">
        <f>+Attendence!C21</f>
        <v>SUBIN K</v>
      </c>
      <c r="D18" s="8" t="str">
        <f>+Attendence!D21</f>
        <v>Sales Executive</v>
      </c>
      <c r="E18" s="8" t="str">
        <f>+Attendence!E21</f>
        <v>Sales</v>
      </c>
      <c r="F18" s="121">
        <v>12000</v>
      </c>
      <c r="G18" s="122">
        <f>+F18*(Attendence!AO21/Attendence!AP21)</f>
        <v>12000</v>
      </c>
      <c r="H18" s="122">
        <f t="shared" si="0"/>
        <v>4800</v>
      </c>
      <c r="I18" s="122">
        <f t="shared" si="1"/>
        <v>2400</v>
      </c>
      <c r="J18" s="122">
        <f t="shared" si="2"/>
        <v>1800</v>
      </c>
      <c r="K18" s="122">
        <f t="shared" si="3"/>
        <v>1080</v>
      </c>
      <c r="L18" s="122">
        <f t="shared" si="4"/>
        <v>840</v>
      </c>
      <c r="M18" s="122">
        <f t="shared" si="5"/>
        <v>600</v>
      </c>
      <c r="N18" s="122">
        <f t="shared" si="6"/>
        <v>480</v>
      </c>
      <c r="O18" s="122"/>
      <c r="P18" s="122">
        <f t="shared" si="7"/>
        <v>12000</v>
      </c>
      <c r="Q18" s="122">
        <f t="shared" si="8"/>
        <v>900</v>
      </c>
      <c r="R18" s="122">
        <f t="shared" si="9"/>
        <v>210.00000000000003</v>
      </c>
      <c r="S18" s="121"/>
      <c r="T18" s="121"/>
      <c r="U18" s="121">
        <v>455</v>
      </c>
      <c r="V18" s="123">
        <f t="shared" si="10"/>
        <v>10435</v>
      </c>
    </row>
    <row r="19" spans="1:22">
      <c r="A19" s="8">
        <f>+Attendence!A22</f>
        <v>15</v>
      </c>
      <c r="B19" s="8" t="str">
        <f>+Attendence!B22</f>
        <v>EMP015</v>
      </c>
      <c r="C19" s="8" t="str">
        <f>+Attendence!C22</f>
        <v xml:space="preserve">SUNEESH </v>
      </c>
      <c r="D19" s="8" t="str">
        <f>+Attendence!D22</f>
        <v>Senior Sales Executive</v>
      </c>
      <c r="E19" s="8" t="str">
        <f>+Attendence!E22</f>
        <v>Sales</v>
      </c>
      <c r="F19" s="121">
        <v>16000</v>
      </c>
      <c r="G19" s="122">
        <f>+F19*(Attendence!AO22/Attendence!AP22)</f>
        <v>15040</v>
      </c>
      <c r="H19" s="122">
        <f t="shared" si="0"/>
        <v>6016</v>
      </c>
      <c r="I19" s="122">
        <f t="shared" si="1"/>
        <v>3008</v>
      </c>
      <c r="J19" s="122">
        <f t="shared" si="2"/>
        <v>2256</v>
      </c>
      <c r="K19" s="122">
        <f t="shared" si="3"/>
        <v>1353.6</v>
      </c>
      <c r="L19" s="122">
        <f t="shared" si="4"/>
        <v>1052.8</v>
      </c>
      <c r="M19" s="122">
        <f t="shared" si="5"/>
        <v>752</v>
      </c>
      <c r="N19" s="122">
        <f t="shared" si="6"/>
        <v>601.6</v>
      </c>
      <c r="O19" s="122"/>
      <c r="P19" s="122">
        <f t="shared" si="7"/>
        <v>15040</v>
      </c>
      <c r="Q19" s="122">
        <f t="shared" si="8"/>
        <v>1128</v>
      </c>
      <c r="R19" s="122">
        <f t="shared" si="9"/>
        <v>263.20000000000005</v>
      </c>
      <c r="S19" s="121"/>
      <c r="T19" s="121"/>
      <c r="U19" s="121"/>
      <c r="V19" s="123">
        <f t="shared" si="10"/>
        <v>13648.8</v>
      </c>
    </row>
    <row r="20" spans="1:22">
      <c r="A20" s="8">
        <f>+Attendence!A23</f>
        <v>16</v>
      </c>
      <c r="B20" s="8" t="str">
        <f>+Attendence!B23</f>
        <v>EMP016</v>
      </c>
      <c r="C20" s="8" t="str">
        <f>+Attendence!C23</f>
        <v>PRAJEESH M R</v>
      </c>
      <c r="D20" s="8" t="str">
        <f>+Attendence!D23</f>
        <v>Sales Executive</v>
      </c>
      <c r="E20" s="8" t="str">
        <f>+Attendence!E23</f>
        <v>Sales</v>
      </c>
      <c r="F20" s="121">
        <v>12000</v>
      </c>
      <c r="G20" s="122">
        <f>+F20*(Attendence!AO23/Attendence!AP23)</f>
        <v>12000</v>
      </c>
      <c r="H20" s="122">
        <f t="shared" si="0"/>
        <v>4800</v>
      </c>
      <c r="I20" s="122">
        <f t="shared" si="1"/>
        <v>2400</v>
      </c>
      <c r="J20" s="122">
        <f t="shared" si="2"/>
        <v>1800</v>
      </c>
      <c r="K20" s="122">
        <f t="shared" si="3"/>
        <v>1080</v>
      </c>
      <c r="L20" s="122">
        <f t="shared" si="4"/>
        <v>840</v>
      </c>
      <c r="M20" s="122">
        <f t="shared" si="5"/>
        <v>600</v>
      </c>
      <c r="N20" s="122">
        <f t="shared" si="6"/>
        <v>480</v>
      </c>
      <c r="O20" s="122"/>
      <c r="P20" s="122">
        <f t="shared" si="7"/>
        <v>12000</v>
      </c>
      <c r="Q20" s="122">
        <f t="shared" si="8"/>
        <v>900</v>
      </c>
      <c r="R20" s="122">
        <f t="shared" si="9"/>
        <v>210.00000000000003</v>
      </c>
      <c r="S20" s="121"/>
      <c r="T20" s="121"/>
      <c r="U20" s="121"/>
      <c r="V20" s="123">
        <f t="shared" si="10"/>
        <v>10890</v>
      </c>
    </row>
    <row r="21" spans="1:22">
      <c r="A21" s="8">
        <f>+Attendence!A24</f>
        <v>17</v>
      </c>
      <c r="B21" s="8" t="str">
        <f>+Attendence!B24</f>
        <v>EMP017</v>
      </c>
      <c r="C21" s="8" t="str">
        <f>+Attendence!C24</f>
        <v>BIJITHA P</v>
      </c>
      <c r="D21" s="8" t="str">
        <f>+Attendence!D24</f>
        <v>Sales Executive</v>
      </c>
      <c r="E21" s="8" t="str">
        <f>+Attendence!E24</f>
        <v>Sales</v>
      </c>
      <c r="F21" s="121">
        <v>12000</v>
      </c>
      <c r="G21" s="122">
        <f>+F21*(Attendence!AO24/Attendence!AP24)</f>
        <v>12000</v>
      </c>
      <c r="H21" s="122">
        <f t="shared" si="0"/>
        <v>4800</v>
      </c>
      <c r="I21" s="122">
        <f t="shared" si="1"/>
        <v>2400</v>
      </c>
      <c r="J21" s="122">
        <f t="shared" si="2"/>
        <v>1800</v>
      </c>
      <c r="K21" s="122">
        <f t="shared" si="3"/>
        <v>1080</v>
      </c>
      <c r="L21" s="122">
        <f t="shared" si="4"/>
        <v>840</v>
      </c>
      <c r="M21" s="122">
        <f t="shared" si="5"/>
        <v>600</v>
      </c>
      <c r="N21" s="122">
        <f t="shared" si="6"/>
        <v>480</v>
      </c>
      <c r="O21" s="122"/>
      <c r="P21" s="122">
        <f t="shared" si="7"/>
        <v>12000</v>
      </c>
      <c r="Q21" s="122">
        <f t="shared" si="8"/>
        <v>900</v>
      </c>
      <c r="R21" s="122">
        <f t="shared" si="9"/>
        <v>210.00000000000003</v>
      </c>
      <c r="S21" s="121">
        <v>3000</v>
      </c>
      <c r="T21" s="121"/>
      <c r="U21" s="121"/>
      <c r="V21" s="123">
        <f t="shared" si="10"/>
        <v>7890</v>
      </c>
    </row>
    <row r="22" spans="1:22">
      <c r="A22" s="8">
        <f>+Attendence!A25</f>
        <v>18</v>
      </c>
      <c r="B22" s="8" t="str">
        <f>+Attendence!B25</f>
        <v>EMP018</v>
      </c>
      <c r="C22" s="8" t="str">
        <f>+Attendence!C25</f>
        <v>SREENATH V</v>
      </c>
      <c r="D22" s="8" t="str">
        <f>+Attendence!D25</f>
        <v>Sales Executive</v>
      </c>
      <c r="E22" s="8" t="str">
        <f>+Attendence!E25</f>
        <v>Sales</v>
      </c>
      <c r="F22" s="121">
        <v>12000</v>
      </c>
      <c r="G22" s="122">
        <f>+F22*(Attendence!AO25/Attendence!AP25)</f>
        <v>11280</v>
      </c>
      <c r="H22" s="122">
        <f t="shared" si="0"/>
        <v>4512</v>
      </c>
      <c r="I22" s="122">
        <f t="shared" si="1"/>
        <v>2256</v>
      </c>
      <c r="J22" s="122">
        <f t="shared" si="2"/>
        <v>1692</v>
      </c>
      <c r="K22" s="122">
        <f t="shared" si="3"/>
        <v>1015.2</v>
      </c>
      <c r="L22" s="122">
        <f t="shared" si="4"/>
        <v>789.6</v>
      </c>
      <c r="M22" s="122">
        <f t="shared" si="5"/>
        <v>564</v>
      </c>
      <c r="N22" s="122">
        <f t="shared" si="6"/>
        <v>451.2</v>
      </c>
      <c r="O22" s="122"/>
      <c r="P22" s="122">
        <f t="shared" si="7"/>
        <v>11280.000000000002</v>
      </c>
      <c r="Q22" s="122">
        <f t="shared" si="8"/>
        <v>846</v>
      </c>
      <c r="R22" s="122">
        <f t="shared" si="9"/>
        <v>197.40000000000006</v>
      </c>
      <c r="S22" s="121">
        <v>2000</v>
      </c>
      <c r="T22" s="121">
        <v>1000</v>
      </c>
      <c r="U22" s="121">
        <v>120</v>
      </c>
      <c r="V22" s="123">
        <f t="shared" si="10"/>
        <v>7116.6000000000022</v>
      </c>
    </row>
    <row r="23" spans="1:22">
      <c r="A23" s="8">
        <f>+Attendence!A26</f>
        <v>19</v>
      </c>
      <c r="B23" s="8" t="str">
        <f>+Attendence!B26</f>
        <v>EMP019</v>
      </c>
      <c r="C23" s="8" t="str">
        <f>+Attendence!C26</f>
        <v>YADU SANKAR M</v>
      </c>
      <c r="D23" s="8" t="str">
        <f>+Attendence!D26</f>
        <v>Senior Sales Executive</v>
      </c>
      <c r="E23" s="8" t="str">
        <f>+Attendence!E26</f>
        <v>Sales</v>
      </c>
      <c r="F23" s="121">
        <v>16000</v>
      </c>
      <c r="G23" s="122">
        <f>+F23*(Attendence!AO26/Attendence!AP26)</f>
        <v>16000</v>
      </c>
      <c r="H23" s="122">
        <f t="shared" si="0"/>
        <v>6400</v>
      </c>
      <c r="I23" s="122">
        <f t="shared" si="1"/>
        <v>3200</v>
      </c>
      <c r="J23" s="122">
        <f t="shared" si="2"/>
        <v>2400</v>
      </c>
      <c r="K23" s="122">
        <f t="shared" si="3"/>
        <v>1440</v>
      </c>
      <c r="L23" s="122">
        <f t="shared" si="4"/>
        <v>1120</v>
      </c>
      <c r="M23" s="122">
        <f t="shared" si="5"/>
        <v>800</v>
      </c>
      <c r="N23" s="122">
        <f t="shared" si="6"/>
        <v>640</v>
      </c>
      <c r="O23" s="122"/>
      <c r="P23" s="122">
        <f t="shared" si="7"/>
        <v>16000</v>
      </c>
      <c r="Q23" s="122">
        <f t="shared" si="8"/>
        <v>1200</v>
      </c>
      <c r="R23" s="122">
        <f t="shared" si="9"/>
        <v>280</v>
      </c>
      <c r="S23" s="121"/>
      <c r="T23" s="121"/>
      <c r="U23" s="121"/>
      <c r="V23" s="123">
        <f t="shared" si="10"/>
        <v>14520</v>
      </c>
    </row>
    <row r="24" spans="1:22">
      <c r="A24" s="8">
        <f>+Attendence!A27</f>
        <v>20</v>
      </c>
      <c r="B24" s="8" t="str">
        <f>+Attendence!B27</f>
        <v>EMP020</v>
      </c>
      <c r="C24" s="8" t="str">
        <f>+Attendence!C27</f>
        <v>SUBASH C P</v>
      </c>
      <c r="D24" s="8" t="str">
        <f>+Attendence!D27</f>
        <v>Sales Executive</v>
      </c>
      <c r="E24" s="8" t="str">
        <f>+Attendence!E27</f>
        <v>Sales</v>
      </c>
      <c r="F24" s="121">
        <v>12000</v>
      </c>
      <c r="G24" s="122">
        <f>+F24*(Attendence!AO27/Attendence!AP27)</f>
        <v>11040</v>
      </c>
      <c r="H24" s="122">
        <f t="shared" si="0"/>
        <v>4416</v>
      </c>
      <c r="I24" s="122">
        <f t="shared" si="1"/>
        <v>2208</v>
      </c>
      <c r="J24" s="122">
        <f t="shared" si="2"/>
        <v>1656</v>
      </c>
      <c r="K24" s="122">
        <f t="shared" si="3"/>
        <v>993.6</v>
      </c>
      <c r="L24" s="122">
        <f t="shared" si="4"/>
        <v>772.8</v>
      </c>
      <c r="M24" s="122">
        <f t="shared" si="5"/>
        <v>552</v>
      </c>
      <c r="N24" s="122">
        <f t="shared" si="6"/>
        <v>441.6</v>
      </c>
      <c r="O24" s="122"/>
      <c r="P24" s="122">
        <f t="shared" si="7"/>
        <v>11040</v>
      </c>
      <c r="Q24" s="122">
        <f t="shared" si="8"/>
        <v>828</v>
      </c>
      <c r="R24" s="122">
        <f t="shared" si="9"/>
        <v>193.20000000000002</v>
      </c>
      <c r="S24" s="121"/>
      <c r="T24" s="121"/>
      <c r="U24" s="121">
        <v>250</v>
      </c>
      <c r="V24" s="123">
        <f t="shared" si="10"/>
        <v>9768.7999999999993</v>
      </c>
    </row>
    <row r="25" spans="1:22">
      <c r="A25" s="8">
        <f>+Attendence!A28</f>
        <v>21</v>
      </c>
      <c r="B25" s="8" t="str">
        <f>+Attendence!B28</f>
        <v>EMP021</v>
      </c>
      <c r="C25" s="8" t="str">
        <f>+Attendence!C28</f>
        <v>SHAFEEK AHAMMED C P</v>
      </c>
      <c r="D25" s="8" t="str">
        <f>+Attendence!D28</f>
        <v>Sales Executive</v>
      </c>
      <c r="E25" s="8" t="str">
        <f>+Attendence!E28</f>
        <v>Sales</v>
      </c>
      <c r="F25" s="121">
        <v>12000</v>
      </c>
      <c r="G25" s="122">
        <f>+F25*(Attendence!AO28/Attendence!AP28)</f>
        <v>12000</v>
      </c>
      <c r="H25" s="122">
        <f t="shared" si="0"/>
        <v>4800</v>
      </c>
      <c r="I25" s="122">
        <f t="shared" si="1"/>
        <v>2400</v>
      </c>
      <c r="J25" s="122">
        <f t="shared" si="2"/>
        <v>1800</v>
      </c>
      <c r="K25" s="122">
        <f t="shared" si="3"/>
        <v>1080</v>
      </c>
      <c r="L25" s="122">
        <f t="shared" si="4"/>
        <v>840</v>
      </c>
      <c r="M25" s="122">
        <f t="shared" si="5"/>
        <v>600</v>
      </c>
      <c r="N25" s="122">
        <f t="shared" si="6"/>
        <v>480</v>
      </c>
      <c r="O25" s="122"/>
      <c r="P25" s="122">
        <f t="shared" si="7"/>
        <v>12000</v>
      </c>
      <c r="Q25" s="122">
        <f t="shared" si="8"/>
        <v>900</v>
      </c>
      <c r="R25" s="122">
        <f t="shared" si="9"/>
        <v>210.00000000000003</v>
      </c>
      <c r="S25" s="121"/>
      <c r="T25" s="121"/>
      <c r="U25" s="121"/>
      <c r="V25" s="123">
        <f t="shared" si="10"/>
        <v>10890</v>
      </c>
    </row>
    <row r="26" spans="1:22">
      <c r="A26" s="8">
        <f>+Attendence!A29</f>
        <v>22</v>
      </c>
      <c r="B26" s="8" t="str">
        <f>+Attendence!B29</f>
        <v>EMP022</v>
      </c>
      <c r="C26" s="8" t="str">
        <f>+Attendence!C29</f>
        <v>SHIBINA M</v>
      </c>
      <c r="D26" s="8" t="str">
        <f>+Attendence!D29</f>
        <v>Trainee Sales</v>
      </c>
      <c r="E26" s="8" t="str">
        <f>+Attendence!E29</f>
        <v>Sales</v>
      </c>
      <c r="F26" s="121">
        <v>8500</v>
      </c>
      <c r="G26" s="122">
        <f>+F26*(Attendence!AO29/Attendence!AP29)</f>
        <v>8500</v>
      </c>
      <c r="H26" s="122">
        <f t="shared" si="0"/>
        <v>3400</v>
      </c>
      <c r="I26" s="122">
        <f t="shared" si="1"/>
        <v>1700</v>
      </c>
      <c r="J26" s="122">
        <f t="shared" si="2"/>
        <v>1275</v>
      </c>
      <c r="K26" s="122">
        <f t="shared" si="3"/>
        <v>765</v>
      </c>
      <c r="L26" s="122">
        <f t="shared" si="4"/>
        <v>595</v>
      </c>
      <c r="M26" s="122">
        <f t="shared" si="5"/>
        <v>425</v>
      </c>
      <c r="N26" s="122">
        <f t="shared" si="6"/>
        <v>340</v>
      </c>
      <c r="O26" s="122"/>
      <c r="P26" s="122">
        <f t="shared" si="7"/>
        <v>8500</v>
      </c>
      <c r="Q26" s="122">
        <f t="shared" si="8"/>
        <v>637.5</v>
      </c>
      <c r="R26" s="122">
        <f t="shared" si="9"/>
        <v>148.75</v>
      </c>
      <c r="S26" s="121"/>
      <c r="T26" s="121">
        <v>1500</v>
      </c>
      <c r="U26" s="121"/>
      <c r="V26" s="123">
        <f t="shared" si="10"/>
        <v>6213.75</v>
      </c>
    </row>
    <row r="27" spans="1:22">
      <c r="A27" s="8">
        <f>+Attendence!A30</f>
        <v>23</v>
      </c>
      <c r="B27" s="8" t="str">
        <f>+Attendence!B30</f>
        <v>EMP023</v>
      </c>
      <c r="C27" s="8" t="str">
        <f>+Attendence!C30</f>
        <v>ALI MUNSHEER T</v>
      </c>
      <c r="D27" s="8" t="str">
        <f>+Attendence!D30</f>
        <v>Trainee Sales</v>
      </c>
      <c r="E27" s="8" t="str">
        <f>+Attendence!E30</f>
        <v>Sales</v>
      </c>
      <c r="F27" s="121">
        <v>8500</v>
      </c>
      <c r="G27" s="122">
        <f>+F27*(Attendence!AO30/Attendence!AP30)</f>
        <v>8500</v>
      </c>
      <c r="H27" s="122">
        <f t="shared" si="0"/>
        <v>3400</v>
      </c>
      <c r="I27" s="122">
        <f t="shared" si="1"/>
        <v>1700</v>
      </c>
      <c r="J27" s="122">
        <f t="shared" si="2"/>
        <v>1275</v>
      </c>
      <c r="K27" s="122">
        <f t="shared" si="3"/>
        <v>765</v>
      </c>
      <c r="L27" s="122">
        <f t="shared" si="4"/>
        <v>595</v>
      </c>
      <c r="M27" s="122">
        <f t="shared" si="5"/>
        <v>425</v>
      </c>
      <c r="N27" s="122">
        <f t="shared" si="6"/>
        <v>340</v>
      </c>
      <c r="O27" s="122"/>
      <c r="P27" s="122">
        <f t="shared" si="7"/>
        <v>8500</v>
      </c>
      <c r="Q27" s="122">
        <f t="shared" si="8"/>
        <v>637.5</v>
      </c>
      <c r="R27" s="122">
        <f t="shared" si="9"/>
        <v>148.75</v>
      </c>
      <c r="S27" s="121"/>
      <c r="T27" s="121"/>
      <c r="U27" s="121"/>
      <c r="V27" s="123">
        <f t="shared" si="10"/>
        <v>7713.75</v>
      </c>
    </row>
    <row r="28" spans="1:22">
      <c r="A28" s="8">
        <f>+Attendence!A31</f>
        <v>24</v>
      </c>
      <c r="B28" s="8" t="str">
        <f>+Attendence!B31</f>
        <v>EMP024</v>
      </c>
      <c r="C28" s="8" t="str">
        <f>+Attendence!C31</f>
        <v>PRAKASH K</v>
      </c>
      <c r="D28" s="8" t="str">
        <f>+Attendence!D31</f>
        <v>Trainee Sales</v>
      </c>
      <c r="E28" s="8" t="str">
        <f>+Attendence!E31</f>
        <v>Sales</v>
      </c>
      <c r="F28" s="121">
        <v>8500</v>
      </c>
      <c r="G28" s="122">
        <f>+F28*(Attendence!AO31/Attendence!AP31)</f>
        <v>7820</v>
      </c>
      <c r="H28" s="122">
        <f t="shared" si="0"/>
        <v>3128</v>
      </c>
      <c r="I28" s="122">
        <f t="shared" si="1"/>
        <v>1564</v>
      </c>
      <c r="J28" s="122">
        <f t="shared" si="2"/>
        <v>1173</v>
      </c>
      <c r="K28" s="122">
        <f t="shared" si="3"/>
        <v>703.8</v>
      </c>
      <c r="L28" s="122">
        <f t="shared" si="4"/>
        <v>547.4</v>
      </c>
      <c r="M28" s="122">
        <f t="shared" si="5"/>
        <v>391</v>
      </c>
      <c r="N28" s="122">
        <f t="shared" si="6"/>
        <v>312.8</v>
      </c>
      <c r="O28" s="122"/>
      <c r="P28" s="122">
        <f t="shared" si="7"/>
        <v>7820</v>
      </c>
      <c r="Q28" s="122">
        <f t="shared" si="8"/>
        <v>586.5</v>
      </c>
      <c r="R28" s="122">
        <f t="shared" si="9"/>
        <v>136.85000000000002</v>
      </c>
      <c r="S28" s="121"/>
      <c r="T28" s="121"/>
      <c r="U28" s="121"/>
      <c r="V28" s="123">
        <f t="shared" si="10"/>
        <v>7096.65</v>
      </c>
    </row>
    <row r="29" spans="1:22">
      <c r="A29" s="8">
        <f>+Attendence!A32</f>
        <v>25</v>
      </c>
      <c r="B29" s="8" t="str">
        <f>+Attendence!B32</f>
        <v>EMP025</v>
      </c>
      <c r="C29" s="8" t="str">
        <f>+Attendence!C32</f>
        <v>MUHAMMED SHAFEEK K</v>
      </c>
      <c r="D29" s="8" t="str">
        <f>+Attendence!D32</f>
        <v>Senior Sales Executive</v>
      </c>
      <c r="E29" s="8" t="str">
        <f>+Attendence!E32</f>
        <v>Sales</v>
      </c>
      <c r="F29" s="121">
        <v>16000</v>
      </c>
      <c r="G29" s="122">
        <f>+F29*(Attendence!AO32/Attendence!AP32)</f>
        <v>16000</v>
      </c>
      <c r="H29" s="122">
        <f t="shared" si="0"/>
        <v>6400</v>
      </c>
      <c r="I29" s="122">
        <f t="shared" si="1"/>
        <v>3200</v>
      </c>
      <c r="J29" s="122">
        <f t="shared" si="2"/>
        <v>2400</v>
      </c>
      <c r="K29" s="122">
        <f t="shared" si="3"/>
        <v>1440</v>
      </c>
      <c r="L29" s="122">
        <f t="shared" si="4"/>
        <v>1120</v>
      </c>
      <c r="M29" s="122">
        <f t="shared" si="5"/>
        <v>800</v>
      </c>
      <c r="N29" s="122">
        <f t="shared" si="6"/>
        <v>640</v>
      </c>
      <c r="O29" s="122"/>
      <c r="P29" s="122">
        <f t="shared" si="7"/>
        <v>16000</v>
      </c>
      <c r="Q29" s="122">
        <f t="shared" si="8"/>
        <v>1200</v>
      </c>
      <c r="R29" s="122">
        <f t="shared" si="9"/>
        <v>280</v>
      </c>
      <c r="S29" s="121"/>
      <c r="T29" s="121"/>
      <c r="U29" s="121"/>
      <c r="V29" s="123">
        <f t="shared" si="10"/>
        <v>14520</v>
      </c>
    </row>
    <row r="30" spans="1:22">
      <c r="A30" s="8">
        <f>+Attendence!A33</f>
        <v>26</v>
      </c>
      <c r="B30" s="8" t="str">
        <f>+Attendence!B33</f>
        <v>EMP026</v>
      </c>
      <c r="C30" s="8" t="str">
        <f>+Attendence!C33</f>
        <v>PRABEESH P K</v>
      </c>
      <c r="D30" s="8" t="str">
        <f>+Attendence!D33</f>
        <v>Marketing Executive</v>
      </c>
      <c r="E30" s="8" t="str">
        <f>+Attendence!E33</f>
        <v>Sales</v>
      </c>
      <c r="F30" s="121">
        <v>12500</v>
      </c>
      <c r="G30" s="122">
        <f>+F30*(Attendence!AO33/Attendence!AP33)</f>
        <v>12500</v>
      </c>
      <c r="H30" s="122">
        <f t="shared" si="0"/>
        <v>5000</v>
      </c>
      <c r="I30" s="122">
        <f t="shared" si="1"/>
        <v>2500</v>
      </c>
      <c r="J30" s="122">
        <f t="shared" si="2"/>
        <v>1875</v>
      </c>
      <c r="K30" s="122">
        <f t="shared" si="3"/>
        <v>1125</v>
      </c>
      <c r="L30" s="122">
        <f t="shared" si="4"/>
        <v>875</v>
      </c>
      <c r="M30" s="122">
        <f t="shared" si="5"/>
        <v>625</v>
      </c>
      <c r="N30" s="122">
        <f t="shared" si="6"/>
        <v>500</v>
      </c>
      <c r="O30" s="122"/>
      <c r="P30" s="122">
        <f t="shared" si="7"/>
        <v>12500</v>
      </c>
      <c r="Q30" s="122">
        <f t="shared" si="8"/>
        <v>937.5</v>
      </c>
      <c r="R30" s="122">
        <f t="shared" si="9"/>
        <v>218.75000000000003</v>
      </c>
      <c r="S30" s="121">
        <v>1500</v>
      </c>
      <c r="T30" s="121"/>
      <c r="U30" s="121">
        <v>1250</v>
      </c>
      <c r="V30" s="123">
        <f t="shared" si="10"/>
        <v>8593.75</v>
      </c>
    </row>
    <row r="31" spans="1:22">
      <c r="A31" s="8">
        <f>+Attendence!A34</f>
        <v>27</v>
      </c>
      <c r="B31" s="8" t="str">
        <f>+Attendence!B34</f>
        <v>EMP027</v>
      </c>
      <c r="C31" s="8" t="str">
        <f>+Attendence!C34</f>
        <v>SREENATH V</v>
      </c>
      <c r="D31" s="8" t="str">
        <f>+Attendence!D34</f>
        <v>Marketing Executive</v>
      </c>
      <c r="E31" s="8" t="str">
        <f>+Attendence!E34</f>
        <v>Sales</v>
      </c>
      <c r="F31" s="121">
        <v>11500</v>
      </c>
      <c r="G31" s="122">
        <f>+F31*(Attendence!AO34/Attendence!AP34)</f>
        <v>10580</v>
      </c>
      <c r="H31" s="122">
        <f t="shared" si="0"/>
        <v>4232</v>
      </c>
      <c r="I31" s="122">
        <f t="shared" si="1"/>
        <v>2116</v>
      </c>
      <c r="J31" s="122">
        <f t="shared" si="2"/>
        <v>1587</v>
      </c>
      <c r="K31" s="122">
        <f t="shared" si="3"/>
        <v>952.2</v>
      </c>
      <c r="L31" s="122">
        <f t="shared" si="4"/>
        <v>740.6</v>
      </c>
      <c r="M31" s="122">
        <f t="shared" si="5"/>
        <v>529</v>
      </c>
      <c r="N31" s="122">
        <f t="shared" si="6"/>
        <v>423.2</v>
      </c>
      <c r="O31" s="122"/>
      <c r="P31" s="122">
        <f t="shared" si="7"/>
        <v>10580.000000000002</v>
      </c>
      <c r="Q31" s="122">
        <f t="shared" si="8"/>
        <v>793.5</v>
      </c>
      <c r="R31" s="122">
        <f t="shared" si="9"/>
        <v>185.15000000000006</v>
      </c>
      <c r="S31" s="121"/>
      <c r="T31" s="121"/>
      <c r="U31" s="121"/>
      <c r="V31" s="123">
        <f t="shared" si="10"/>
        <v>9601.3500000000022</v>
      </c>
    </row>
    <row r="32" spans="1:22">
      <c r="A32" s="8">
        <f>+Attendence!A35</f>
        <v>28</v>
      </c>
      <c r="B32" s="8" t="str">
        <f>+Attendence!B35</f>
        <v>EMP028</v>
      </c>
      <c r="C32" s="8" t="str">
        <f>+Attendence!C35</f>
        <v>VINI PRASAD V</v>
      </c>
      <c r="D32" s="8" t="str">
        <f>+Attendence!D35</f>
        <v>Tele Caller</v>
      </c>
      <c r="E32" s="8" t="str">
        <f>+Attendence!E35</f>
        <v>Sales</v>
      </c>
      <c r="F32" s="121">
        <v>10000</v>
      </c>
      <c r="G32" s="122">
        <f>+F32*(Attendence!AO35/Attendence!AP35)</f>
        <v>10000</v>
      </c>
      <c r="H32" s="122">
        <f t="shared" si="0"/>
        <v>4000</v>
      </c>
      <c r="I32" s="122">
        <f t="shared" si="1"/>
        <v>2000</v>
      </c>
      <c r="J32" s="122">
        <f t="shared" si="2"/>
        <v>1500</v>
      </c>
      <c r="K32" s="122">
        <f t="shared" si="3"/>
        <v>900</v>
      </c>
      <c r="L32" s="122">
        <f t="shared" si="4"/>
        <v>700</v>
      </c>
      <c r="M32" s="122">
        <f t="shared" si="5"/>
        <v>500</v>
      </c>
      <c r="N32" s="122">
        <f t="shared" si="6"/>
        <v>400</v>
      </c>
      <c r="O32" s="122"/>
      <c r="P32" s="122">
        <f t="shared" si="7"/>
        <v>10000</v>
      </c>
      <c r="Q32" s="122">
        <f t="shared" si="8"/>
        <v>750</v>
      </c>
      <c r="R32" s="122">
        <f t="shared" si="9"/>
        <v>175.00000000000003</v>
      </c>
      <c r="S32" s="121">
        <v>500</v>
      </c>
      <c r="T32" s="121"/>
      <c r="U32" s="121"/>
      <c r="V32" s="123">
        <f t="shared" si="10"/>
        <v>8575</v>
      </c>
    </row>
    <row r="33" spans="1:22">
      <c r="A33" s="8">
        <f>+Attendence!A36</f>
        <v>29</v>
      </c>
      <c r="B33" s="8" t="str">
        <f>+Attendence!B36</f>
        <v>EMP029</v>
      </c>
      <c r="C33" s="8" t="str">
        <f>+Attendence!C36</f>
        <v xml:space="preserve">SHABANA NIZAMUDHEEN </v>
      </c>
      <c r="D33" s="8" t="str">
        <f>+Attendence!D36</f>
        <v>Tele Caller</v>
      </c>
      <c r="E33" s="8" t="str">
        <f>+Attendence!E36</f>
        <v>Sales</v>
      </c>
      <c r="F33" s="121">
        <v>9500</v>
      </c>
      <c r="G33" s="122">
        <f>+F33*(Attendence!AO36/Attendence!AP36)</f>
        <v>9500</v>
      </c>
      <c r="H33" s="122">
        <f t="shared" si="0"/>
        <v>3800</v>
      </c>
      <c r="I33" s="122">
        <f t="shared" si="1"/>
        <v>1900</v>
      </c>
      <c r="J33" s="122">
        <f t="shared" si="2"/>
        <v>1425</v>
      </c>
      <c r="K33" s="122">
        <f t="shared" si="3"/>
        <v>855</v>
      </c>
      <c r="L33" s="122">
        <f t="shared" si="4"/>
        <v>665</v>
      </c>
      <c r="M33" s="122">
        <f t="shared" si="5"/>
        <v>475</v>
      </c>
      <c r="N33" s="122">
        <f t="shared" si="6"/>
        <v>380</v>
      </c>
      <c r="O33" s="122"/>
      <c r="P33" s="122">
        <f t="shared" si="7"/>
        <v>9500</v>
      </c>
      <c r="Q33" s="122">
        <f t="shared" si="8"/>
        <v>712.5</v>
      </c>
      <c r="R33" s="122">
        <f t="shared" si="9"/>
        <v>166.25000000000003</v>
      </c>
      <c r="S33" s="121"/>
      <c r="T33" s="121">
        <v>1500</v>
      </c>
      <c r="U33" s="121"/>
      <c r="V33" s="123">
        <f t="shared" si="10"/>
        <v>7121.25</v>
      </c>
    </row>
    <row r="34" spans="1:22">
      <c r="A34" s="8">
        <f>+Attendence!A37</f>
        <v>30</v>
      </c>
      <c r="B34" s="8" t="str">
        <f>+Attendence!B37</f>
        <v>EMP030</v>
      </c>
      <c r="C34" s="8" t="str">
        <f>+Attendence!C37</f>
        <v>SRUTHI K</v>
      </c>
      <c r="D34" s="8" t="str">
        <f>+Attendence!D37</f>
        <v>Front Office Executive</v>
      </c>
      <c r="E34" s="8" t="str">
        <f>+Attendence!E37</f>
        <v>Administration</v>
      </c>
      <c r="F34" s="121">
        <v>9500</v>
      </c>
      <c r="G34" s="122">
        <f>+F34*(Attendence!AO37/Attendence!AP37)</f>
        <v>8930</v>
      </c>
      <c r="H34" s="122">
        <f t="shared" si="0"/>
        <v>3572</v>
      </c>
      <c r="I34" s="122">
        <f t="shared" si="1"/>
        <v>1786</v>
      </c>
      <c r="J34" s="122">
        <f t="shared" si="2"/>
        <v>1339.5</v>
      </c>
      <c r="K34" s="122">
        <f t="shared" si="3"/>
        <v>803.7</v>
      </c>
      <c r="L34" s="122">
        <f t="shared" si="4"/>
        <v>625.1</v>
      </c>
      <c r="M34" s="122">
        <f t="shared" si="5"/>
        <v>446.5</v>
      </c>
      <c r="N34" s="122">
        <f t="shared" si="6"/>
        <v>357.2</v>
      </c>
      <c r="O34" s="122"/>
      <c r="P34" s="122">
        <f t="shared" si="7"/>
        <v>8930</v>
      </c>
      <c r="Q34" s="122">
        <f t="shared" si="8"/>
        <v>669.75</v>
      </c>
      <c r="R34" s="122">
        <f t="shared" si="9"/>
        <v>156.27500000000001</v>
      </c>
      <c r="S34" s="121"/>
      <c r="T34" s="121"/>
      <c r="U34" s="121"/>
      <c r="V34" s="123">
        <f t="shared" si="10"/>
        <v>8103.9750000000004</v>
      </c>
    </row>
    <row r="35" spans="1:22">
      <c r="A35" s="8">
        <f>+Attendence!A38</f>
        <v>31</v>
      </c>
      <c r="B35" s="8" t="str">
        <f>+Attendence!B38</f>
        <v>EMP031</v>
      </c>
      <c r="C35" s="8" t="str">
        <f>+Attendence!C38</f>
        <v>IBRAHIM KUTTY V</v>
      </c>
      <c r="D35" s="8" t="str">
        <f>+Attendence!D38</f>
        <v>HR Officer</v>
      </c>
      <c r="E35" s="8" t="str">
        <f>+Attendence!E38</f>
        <v>Human Resource</v>
      </c>
      <c r="F35" s="121">
        <v>16500</v>
      </c>
      <c r="G35" s="122">
        <f>+F35*(Attendence!AO38/Attendence!AP38)</f>
        <v>16500</v>
      </c>
      <c r="H35" s="122">
        <f t="shared" si="0"/>
        <v>6600</v>
      </c>
      <c r="I35" s="122">
        <f t="shared" si="1"/>
        <v>3300</v>
      </c>
      <c r="J35" s="122">
        <f t="shared" si="2"/>
        <v>2475</v>
      </c>
      <c r="K35" s="122">
        <f t="shared" si="3"/>
        <v>1485</v>
      </c>
      <c r="L35" s="122">
        <f t="shared" si="4"/>
        <v>1155</v>
      </c>
      <c r="M35" s="122">
        <f t="shared" si="5"/>
        <v>825</v>
      </c>
      <c r="N35" s="122">
        <f t="shared" si="6"/>
        <v>660</v>
      </c>
      <c r="O35" s="122"/>
      <c r="P35" s="122">
        <f t="shared" si="7"/>
        <v>16500</v>
      </c>
      <c r="Q35" s="122">
        <f t="shared" si="8"/>
        <v>1237.5</v>
      </c>
      <c r="R35" s="122">
        <f t="shared" si="9"/>
        <v>288.75</v>
      </c>
      <c r="S35" s="121"/>
      <c r="T35" s="121"/>
      <c r="U35" s="121"/>
      <c r="V35" s="123">
        <f t="shared" si="10"/>
        <v>14973.75</v>
      </c>
    </row>
    <row r="36" spans="1:22">
      <c r="A36" s="8">
        <f>+Attendence!A39</f>
        <v>32</v>
      </c>
      <c r="B36" s="8" t="str">
        <f>+Attendence!B39</f>
        <v>EMP032</v>
      </c>
      <c r="C36" s="8" t="str">
        <f>+Attendence!C39</f>
        <v>JIJESH T</v>
      </c>
      <c r="D36" s="8" t="str">
        <f>+Attendence!D39</f>
        <v>Back office Executive</v>
      </c>
      <c r="E36" s="8" t="str">
        <f>+Attendence!E39</f>
        <v>Sales</v>
      </c>
      <c r="F36" s="121">
        <v>10000</v>
      </c>
      <c r="G36" s="122">
        <f>+F36*(Attendence!AO39/Attendence!AP39)</f>
        <v>10000</v>
      </c>
      <c r="H36" s="122">
        <f t="shared" si="0"/>
        <v>4000</v>
      </c>
      <c r="I36" s="122">
        <f t="shared" si="1"/>
        <v>2000</v>
      </c>
      <c r="J36" s="122">
        <f t="shared" si="2"/>
        <v>1500</v>
      </c>
      <c r="K36" s="122">
        <f t="shared" si="3"/>
        <v>900</v>
      </c>
      <c r="L36" s="122">
        <f t="shared" si="4"/>
        <v>700</v>
      </c>
      <c r="M36" s="122">
        <f t="shared" si="5"/>
        <v>500</v>
      </c>
      <c r="N36" s="122">
        <f t="shared" si="6"/>
        <v>400</v>
      </c>
      <c r="O36" s="122"/>
      <c r="P36" s="122">
        <f t="shared" si="7"/>
        <v>10000</v>
      </c>
      <c r="Q36" s="122">
        <f t="shared" si="8"/>
        <v>750</v>
      </c>
      <c r="R36" s="122">
        <f t="shared" si="9"/>
        <v>175.00000000000003</v>
      </c>
      <c r="S36" s="121"/>
      <c r="T36" s="121">
        <v>1000</v>
      </c>
      <c r="U36" s="121">
        <v>255</v>
      </c>
      <c r="V36" s="123">
        <f t="shared" si="10"/>
        <v>7820</v>
      </c>
    </row>
    <row r="37" spans="1:22">
      <c r="A37" s="8">
        <f>+Attendence!A40</f>
        <v>33</v>
      </c>
      <c r="B37" s="8" t="str">
        <f>+Attendence!B40</f>
        <v>EMP033</v>
      </c>
      <c r="C37" s="8" t="str">
        <f>+Attendence!C40</f>
        <v>AKHILA P</v>
      </c>
      <c r="D37" s="8" t="str">
        <f>+Attendence!D40</f>
        <v>Back office Executive</v>
      </c>
      <c r="E37" s="8" t="str">
        <f>+Attendence!E40</f>
        <v>Sales</v>
      </c>
      <c r="F37" s="121">
        <v>10500</v>
      </c>
      <c r="G37" s="122">
        <f>+F37*(Attendence!AO40/Attendence!AP40)</f>
        <v>9660</v>
      </c>
      <c r="H37" s="122">
        <f t="shared" si="0"/>
        <v>3864</v>
      </c>
      <c r="I37" s="122">
        <f t="shared" si="1"/>
        <v>1932</v>
      </c>
      <c r="J37" s="122">
        <f t="shared" si="2"/>
        <v>1449</v>
      </c>
      <c r="K37" s="122">
        <f t="shared" si="3"/>
        <v>869.4</v>
      </c>
      <c r="L37" s="122">
        <f t="shared" si="4"/>
        <v>676.2</v>
      </c>
      <c r="M37" s="122">
        <f t="shared" si="5"/>
        <v>483</v>
      </c>
      <c r="N37" s="122">
        <f t="shared" si="6"/>
        <v>386.4</v>
      </c>
      <c r="O37" s="122"/>
      <c r="P37" s="122">
        <f t="shared" si="7"/>
        <v>9660</v>
      </c>
      <c r="Q37" s="122">
        <f t="shared" si="8"/>
        <v>724.5</v>
      </c>
      <c r="R37" s="122">
        <f t="shared" si="9"/>
        <v>169.05</v>
      </c>
      <c r="S37" s="121"/>
      <c r="T37" s="121"/>
      <c r="U37" s="121"/>
      <c r="V37" s="123">
        <f t="shared" si="10"/>
        <v>8766.4500000000007</v>
      </c>
    </row>
    <row r="38" spans="1:22">
      <c r="A38" s="8">
        <f>+Attendence!A41</f>
        <v>34</v>
      </c>
      <c r="B38" s="8" t="str">
        <f>+Attendence!B41</f>
        <v>EMP034</v>
      </c>
      <c r="C38" s="8" t="str">
        <f>+Attendence!C41</f>
        <v>SARADHA M</v>
      </c>
      <c r="D38" s="8" t="str">
        <f>+Attendence!D41</f>
        <v>House Keeping Staff</v>
      </c>
      <c r="E38" s="8" t="str">
        <f>+Attendence!E41</f>
        <v>Administration</v>
      </c>
      <c r="F38" s="121">
        <v>8500</v>
      </c>
      <c r="G38" s="122">
        <f>+F38*(Attendence!AO41/Attendence!AP41)</f>
        <v>8500</v>
      </c>
      <c r="H38" s="122">
        <f t="shared" si="0"/>
        <v>3400</v>
      </c>
      <c r="I38" s="122">
        <f t="shared" si="1"/>
        <v>1700</v>
      </c>
      <c r="J38" s="122">
        <f t="shared" si="2"/>
        <v>1275</v>
      </c>
      <c r="K38" s="122">
        <f t="shared" si="3"/>
        <v>765</v>
      </c>
      <c r="L38" s="122">
        <f t="shared" si="4"/>
        <v>595</v>
      </c>
      <c r="M38" s="122">
        <f t="shared" si="5"/>
        <v>425</v>
      </c>
      <c r="N38" s="122">
        <f t="shared" si="6"/>
        <v>340</v>
      </c>
      <c r="O38" s="122"/>
      <c r="P38" s="122">
        <f t="shared" si="7"/>
        <v>8500</v>
      </c>
      <c r="Q38" s="122">
        <f t="shared" si="8"/>
        <v>637.5</v>
      </c>
      <c r="R38" s="122">
        <f t="shared" si="9"/>
        <v>148.75</v>
      </c>
      <c r="S38" s="121"/>
      <c r="T38" s="121"/>
      <c r="U38" s="121"/>
      <c r="V38" s="123">
        <f t="shared" si="10"/>
        <v>7713.75</v>
      </c>
    </row>
    <row r="39" spans="1:22">
      <c r="A39" s="8">
        <f>+Attendence!A42</f>
        <v>35</v>
      </c>
      <c r="B39" s="8" t="str">
        <f>+Attendence!B42</f>
        <v>EMP035</v>
      </c>
      <c r="C39" s="8" t="str">
        <f>+Attendence!C42</f>
        <v>MANIKANDAN N</v>
      </c>
      <c r="D39" s="8" t="str">
        <f>+Attendence!D42</f>
        <v>Driver</v>
      </c>
      <c r="E39" s="8" t="str">
        <f>+Attendence!E42</f>
        <v>Administration</v>
      </c>
      <c r="F39" s="121">
        <v>9000</v>
      </c>
      <c r="G39" s="122">
        <f>+F39*(Attendence!AO42/Attendence!AP42)</f>
        <v>9000</v>
      </c>
      <c r="H39" s="122">
        <f t="shared" si="0"/>
        <v>3600</v>
      </c>
      <c r="I39" s="122">
        <f t="shared" si="1"/>
        <v>1800</v>
      </c>
      <c r="J39" s="122">
        <f t="shared" si="2"/>
        <v>1350</v>
      </c>
      <c r="K39" s="122">
        <f t="shared" si="3"/>
        <v>810</v>
      </c>
      <c r="L39" s="122">
        <f t="shared" si="4"/>
        <v>630</v>
      </c>
      <c r="M39" s="122">
        <f t="shared" si="5"/>
        <v>450</v>
      </c>
      <c r="N39" s="122">
        <f t="shared" si="6"/>
        <v>360</v>
      </c>
      <c r="O39" s="122"/>
      <c r="P39" s="122">
        <f t="shared" si="7"/>
        <v>9000</v>
      </c>
      <c r="Q39" s="122">
        <f t="shared" si="8"/>
        <v>675</v>
      </c>
      <c r="R39" s="122">
        <f t="shared" si="9"/>
        <v>157.50000000000003</v>
      </c>
      <c r="S39" s="121"/>
      <c r="T39" s="121"/>
      <c r="U39" s="121">
        <v>758</v>
      </c>
      <c r="V39" s="123">
        <f t="shared" si="10"/>
        <v>7409.5</v>
      </c>
    </row>
    <row r="40" spans="1:22">
      <c r="A40" s="8">
        <f>+Attendence!A43</f>
        <v>36</v>
      </c>
      <c r="B40" s="8" t="str">
        <f>+Attendence!B43</f>
        <v>EMP036</v>
      </c>
      <c r="C40" s="8" t="str">
        <f>+Attendence!C43</f>
        <v>PRASANTH P</v>
      </c>
      <c r="D40" s="8" t="str">
        <f>+Attendence!D43</f>
        <v>Senior Accountant</v>
      </c>
      <c r="E40" s="8" t="str">
        <f>+Attendence!E43</f>
        <v>Accounts</v>
      </c>
      <c r="F40" s="121">
        <v>18000</v>
      </c>
      <c r="G40" s="122">
        <f>+F40*(Attendence!AO43/Attendence!AP43)</f>
        <v>18000</v>
      </c>
      <c r="H40" s="122">
        <f t="shared" si="0"/>
        <v>7200</v>
      </c>
      <c r="I40" s="122">
        <f t="shared" si="1"/>
        <v>3600</v>
      </c>
      <c r="J40" s="122">
        <f t="shared" si="2"/>
        <v>2700</v>
      </c>
      <c r="K40" s="122">
        <f t="shared" si="3"/>
        <v>1620</v>
      </c>
      <c r="L40" s="122">
        <f t="shared" si="4"/>
        <v>1260</v>
      </c>
      <c r="M40" s="122">
        <f t="shared" si="5"/>
        <v>900</v>
      </c>
      <c r="N40" s="122">
        <f t="shared" si="6"/>
        <v>720</v>
      </c>
      <c r="O40" s="122"/>
      <c r="P40" s="122">
        <f t="shared" si="7"/>
        <v>18000</v>
      </c>
      <c r="Q40" s="122">
        <f t="shared" si="8"/>
        <v>1350</v>
      </c>
      <c r="R40" s="122">
        <f t="shared" si="9"/>
        <v>315.00000000000006</v>
      </c>
      <c r="S40" s="121"/>
      <c r="T40" s="121"/>
      <c r="U40" s="121"/>
      <c r="V40" s="123">
        <f t="shared" si="10"/>
        <v>16335</v>
      </c>
    </row>
    <row r="41" spans="1:22">
      <c r="A41" s="8">
        <f>+Attendence!A44</f>
        <v>37</v>
      </c>
      <c r="B41" s="8" t="str">
        <f>+Attendence!B44</f>
        <v>EMP037</v>
      </c>
      <c r="C41" s="8" t="str">
        <f>+Attendence!C44</f>
        <v>RAGHU V</v>
      </c>
      <c r="D41" s="8" t="str">
        <f>+Attendence!D44</f>
        <v>Accounts Assistant</v>
      </c>
      <c r="E41" s="8" t="str">
        <f>+Attendence!E44</f>
        <v>Accounts</v>
      </c>
      <c r="F41" s="121">
        <v>12500</v>
      </c>
      <c r="G41" s="122">
        <f>+F41*(Attendence!AO44/Attendence!AP44)</f>
        <v>12500</v>
      </c>
      <c r="H41" s="122">
        <f t="shared" si="0"/>
        <v>5000</v>
      </c>
      <c r="I41" s="122">
        <f t="shared" si="1"/>
        <v>2500</v>
      </c>
      <c r="J41" s="122">
        <f t="shared" si="2"/>
        <v>1875</v>
      </c>
      <c r="K41" s="122">
        <f t="shared" si="3"/>
        <v>1125</v>
      </c>
      <c r="L41" s="122">
        <f t="shared" si="4"/>
        <v>875</v>
      </c>
      <c r="M41" s="122">
        <f t="shared" si="5"/>
        <v>625</v>
      </c>
      <c r="N41" s="122">
        <f t="shared" si="6"/>
        <v>500</v>
      </c>
      <c r="O41" s="122"/>
      <c r="P41" s="122">
        <f t="shared" si="7"/>
        <v>12500</v>
      </c>
      <c r="Q41" s="122">
        <f t="shared" si="8"/>
        <v>937.5</v>
      </c>
      <c r="R41" s="122">
        <f t="shared" si="9"/>
        <v>218.75000000000003</v>
      </c>
      <c r="S41" s="121"/>
      <c r="T41" s="121">
        <v>1000</v>
      </c>
      <c r="U41" s="121"/>
      <c r="V41" s="123">
        <f t="shared" si="10"/>
        <v>10343.75</v>
      </c>
    </row>
    <row r="42" spans="1:22">
      <c r="A42" s="8">
        <f>+Attendence!A45</f>
        <v>38</v>
      </c>
      <c r="B42" s="8" t="str">
        <f>+Attendence!B45</f>
        <v>EMP038</v>
      </c>
      <c r="C42" s="8" t="str">
        <f>+Attendence!C45</f>
        <v>SAJITH K K</v>
      </c>
      <c r="D42" s="8" t="str">
        <f>+Attendence!D45</f>
        <v>Accounts Assistant</v>
      </c>
      <c r="E42" s="8" t="str">
        <f>+Attendence!E45</f>
        <v>Accounts</v>
      </c>
      <c r="F42" s="121">
        <v>13000</v>
      </c>
      <c r="G42" s="122">
        <f>+F42*(Attendence!AO45/Attendence!AP45)</f>
        <v>13000</v>
      </c>
      <c r="H42" s="122">
        <f t="shared" si="0"/>
        <v>5200</v>
      </c>
      <c r="I42" s="122">
        <f t="shared" si="1"/>
        <v>2600</v>
      </c>
      <c r="J42" s="122">
        <f t="shared" si="2"/>
        <v>1950</v>
      </c>
      <c r="K42" s="122">
        <f t="shared" si="3"/>
        <v>1170</v>
      </c>
      <c r="L42" s="122">
        <f t="shared" si="4"/>
        <v>910</v>
      </c>
      <c r="M42" s="122">
        <f t="shared" si="5"/>
        <v>650</v>
      </c>
      <c r="N42" s="122">
        <f t="shared" si="6"/>
        <v>520</v>
      </c>
      <c r="O42" s="122"/>
      <c r="P42" s="122">
        <f t="shared" si="7"/>
        <v>13000</v>
      </c>
      <c r="Q42" s="122">
        <f t="shared" si="8"/>
        <v>975</v>
      </c>
      <c r="R42" s="122">
        <f t="shared" si="9"/>
        <v>227.50000000000003</v>
      </c>
      <c r="S42" s="121">
        <v>1000</v>
      </c>
      <c r="T42" s="121"/>
      <c r="U42" s="121"/>
      <c r="V42" s="123">
        <f t="shared" si="10"/>
        <v>10797.5</v>
      </c>
    </row>
    <row r="43" spans="1:22">
      <c r="A43" s="8">
        <f>+Attendence!A46</f>
        <v>39</v>
      </c>
      <c r="B43" s="8" t="str">
        <f>+Attendence!B46</f>
        <v>EMP039</v>
      </c>
      <c r="C43" s="8" t="str">
        <f>+Attendence!C46</f>
        <v>AJEESH K</v>
      </c>
      <c r="D43" s="8" t="str">
        <f>+Attendence!D46</f>
        <v>HR Executive</v>
      </c>
      <c r="E43" s="8" t="str">
        <f>+Attendence!E46</f>
        <v>Human Resource</v>
      </c>
      <c r="F43" s="121">
        <v>14000</v>
      </c>
      <c r="G43" s="122">
        <f>+F43*(Attendence!AO46/Attendence!AP46)</f>
        <v>12040</v>
      </c>
      <c r="H43" s="122">
        <f t="shared" si="0"/>
        <v>4816</v>
      </c>
      <c r="I43" s="122">
        <f t="shared" si="1"/>
        <v>2408</v>
      </c>
      <c r="J43" s="122">
        <f t="shared" si="2"/>
        <v>1806</v>
      </c>
      <c r="K43" s="122">
        <f t="shared" si="3"/>
        <v>1083.5999999999999</v>
      </c>
      <c r="L43" s="122">
        <f t="shared" si="4"/>
        <v>842.8</v>
      </c>
      <c r="M43" s="122">
        <f t="shared" si="5"/>
        <v>602</v>
      </c>
      <c r="N43" s="122">
        <f t="shared" si="6"/>
        <v>481.6</v>
      </c>
      <c r="O43" s="122"/>
      <c r="P43" s="122">
        <f t="shared" si="7"/>
        <v>12040</v>
      </c>
      <c r="Q43" s="122">
        <f t="shared" si="8"/>
        <v>903</v>
      </c>
      <c r="R43" s="122">
        <f t="shared" si="9"/>
        <v>210.70000000000002</v>
      </c>
      <c r="S43" s="121">
        <v>1000</v>
      </c>
      <c r="T43" s="121"/>
      <c r="U43" s="121">
        <v>1358</v>
      </c>
      <c r="V43" s="123">
        <f t="shared" si="10"/>
        <v>8568.2999999999993</v>
      </c>
    </row>
    <row r="44" spans="1:22">
      <c r="A44" s="8">
        <f>+Attendence!A47</f>
        <v>40</v>
      </c>
      <c r="B44" s="8" t="str">
        <f>+Attendence!B47</f>
        <v>EMP040</v>
      </c>
      <c r="C44" s="8" t="str">
        <f>+Attendence!C47</f>
        <v>MOHAMMED UNAIS P V</v>
      </c>
      <c r="D44" s="8" t="str">
        <f>+Attendence!D47</f>
        <v>Office Assistant</v>
      </c>
      <c r="E44" s="8" t="str">
        <f>+Attendence!E47</f>
        <v>Administration</v>
      </c>
      <c r="F44" s="121">
        <v>9500</v>
      </c>
      <c r="G44" s="122">
        <f>+F44*(Attendence!AO47/Attendence!AP47)</f>
        <v>7980</v>
      </c>
      <c r="H44" s="122">
        <f t="shared" si="0"/>
        <v>3192</v>
      </c>
      <c r="I44" s="122">
        <f t="shared" si="1"/>
        <v>1596</v>
      </c>
      <c r="J44" s="122">
        <f t="shared" si="2"/>
        <v>1197</v>
      </c>
      <c r="K44" s="122">
        <f t="shared" si="3"/>
        <v>718.2</v>
      </c>
      <c r="L44" s="122">
        <f t="shared" si="4"/>
        <v>558.6</v>
      </c>
      <c r="M44" s="122">
        <f t="shared" si="5"/>
        <v>399</v>
      </c>
      <c r="N44" s="122">
        <f t="shared" si="6"/>
        <v>319.2</v>
      </c>
      <c r="O44" s="122"/>
      <c r="P44" s="122">
        <f t="shared" si="7"/>
        <v>7980</v>
      </c>
      <c r="Q44" s="122">
        <f t="shared" si="8"/>
        <v>598.5</v>
      </c>
      <c r="R44" s="122">
        <f t="shared" si="9"/>
        <v>139.65</v>
      </c>
      <c r="S44" s="121">
        <v>500</v>
      </c>
      <c r="T44" s="121"/>
      <c r="U44" s="121"/>
      <c r="V44" s="123">
        <f t="shared" si="10"/>
        <v>6741.85</v>
      </c>
    </row>
    <row r="45" spans="1:22" ht="15.75" thickBot="1">
      <c r="F45" s="124">
        <f t="shared" ref="F45:U45" si="11">SUM(F5:F44)</f>
        <v>604000</v>
      </c>
      <c r="G45" s="124">
        <f t="shared" si="11"/>
        <v>586470</v>
      </c>
      <c r="H45" s="124">
        <f t="shared" si="11"/>
        <v>234588</v>
      </c>
      <c r="I45" s="124">
        <f t="shared" si="11"/>
        <v>117294</v>
      </c>
      <c r="J45" s="124">
        <f t="shared" si="11"/>
        <v>87970.5</v>
      </c>
      <c r="K45" s="124">
        <f t="shared" si="11"/>
        <v>52782.299999999996</v>
      </c>
      <c r="L45" s="124">
        <f t="shared" si="11"/>
        <v>41052.899999999994</v>
      </c>
      <c r="M45" s="124">
        <f t="shared" si="11"/>
        <v>29323.5</v>
      </c>
      <c r="N45" s="124">
        <f t="shared" si="11"/>
        <v>23458.800000000007</v>
      </c>
      <c r="O45" s="124">
        <f t="shared" si="11"/>
        <v>0</v>
      </c>
      <c r="P45" s="124">
        <f t="shared" si="11"/>
        <v>586470</v>
      </c>
      <c r="Q45" s="124">
        <f t="shared" si="11"/>
        <v>43985.25</v>
      </c>
      <c r="R45" s="124">
        <f t="shared" si="11"/>
        <v>6617.625</v>
      </c>
      <c r="S45" s="124">
        <f t="shared" si="11"/>
        <v>18000</v>
      </c>
      <c r="T45" s="124">
        <f t="shared" si="11"/>
        <v>13500</v>
      </c>
      <c r="U45" s="124">
        <f t="shared" si="11"/>
        <v>6803</v>
      </c>
      <c r="V45" s="124">
        <f>SUM(V5:V44)</f>
        <v>497564.12499999994</v>
      </c>
    </row>
    <row r="46" spans="1:22" ht="15.75" thickTop="1"/>
  </sheetData>
  <mergeCells count="2">
    <mergeCell ref="E1:V1"/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K30"/>
  <sheetViews>
    <sheetView tabSelected="1" workbookViewId="0">
      <selection activeCell="E10" sqref="E10"/>
    </sheetView>
  </sheetViews>
  <sheetFormatPr defaultRowHeight="15"/>
  <cols>
    <col min="1" max="1" width="0.42578125" customWidth="1"/>
    <col min="2" max="2" width="1" style="44" customWidth="1"/>
    <col min="3" max="3" width="3.7109375" customWidth="1"/>
    <col min="4" max="4" width="22" customWidth="1"/>
    <col min="6" max="6" width="15.85546875" customWidth="1"/>
    <col min="8" max="8" width="15.42578125" customWidth="1"/>
    <col min="9" max="9" width="15" customWidth="1"/>
    <col min="10" max="10" width="4.7109375" customWidth="1"/>
    <col min="11" max="11" width="1.140625" customWidth="1"/>
  </cols>
  <sheetData>
    <row r="1" spans="2:11" ht="15.75" thickBot="1"/>
    <row r="2" spans="2:11" ht="8.25" customHeight="1">
      <c r="B2" s="101"/>
      <c r="C2" s="102"/>
      <c r="D2" s="102"/>
      <c r="E2" s="102"/>
      <c r="F2" s="102"/>
      <c r="G2" s="102"/>
      <c r="H2" s="102"/>
      <c r="I2" s="102"/>
      <c r="J2" s="102"/>
      <c r="K2" s="103"/>
    </row>
    <row r="3" spans="2:11">
      <c r="B3" s="104"/>
      <c r="C3" s="22"/>
      <c r="D3" s="23"/>
      <c r="E3" s="23"/>
      <c r="F3" s="23"/>
      <c r="G3" s="23"/>
      <c r="H3" s="23"/>
      <c r="I3" s="23"/>
      <c r="J3" s="24"/>
      <c r="K3" s="105"/>
    </row>
    <row r="4" spans="2:11" ht="18.75">
      <c r="B4" s="104"/>
      <c r="C4" s="45" t="str">
        <f>Attendence!F1</f>
        <v>ABC CO LTD</v>
      </c>
      <c r="D4" s="46"/>
      <c r="E4" s="46"/>
      <c r="F4" s="46"/>
      <c r="G4" s="46"/>
      <c r="H4" s="46"/>
      <c r="I4" s="46"/>
      <c r="J4" s="47"/>
      <c r="K4" s="105"/>
    </row>
    <row r="5" spans="2:11">
      <c r="B5" s="104"/>
      <c r="C5" s="48" t="str">
        <f>Attendence!O2</f>
        <v>MG ROAD, COCHIN -14</v>
      </c>
      <c r="D5" s="49"/>
      <c r="E5" s="49"/>
      <c r="F5" s="49"/>
      <c r="G5" s="49"/>
      <c r="H5" s="49"/>
      <c r="I5" s="49"/>
      <c r="J5" s="50"/>
      <c r="K5" s="105"/>
    </row>
    <row r="6" spans="2:11">
      <c r="B6" s="104"/>
      <c r="C6" s="25" t="s">
        <v>76</v>
      </c>
      <c r="D6" s="26"/>
      <c r="E6" s="26"/>
      <c r="F6" s="26"/>
      <c r="G6" s="26"/>
      <c r="H6" s="66">
        <f>Attendence!F2</f>
        <v>43344</v>
      </c>
      <c r="I6" s="27"/>
      <c r="J6" s="28"/>
      <c r="K6" s="105"/>
    </row>
    <row r="7" spans="2:11" ht="9" customHeight="1">
      <c r="B7" s="104"/>
      <c r="C7" s="37"/>
      <c r="D7" s="110" t="s">
        <v>192</v>
      </c>
      <c r="E7" s="30"/>
      <c r="F7" s="30"/>
      <c r="G7" s="30"/>
      <c r="H7" s="27"/>
      <c r="I7" s="27"/>
      <c r="J7" s="28"/>
      <c r="K7" s="105"/>
    </row>
    <row r="8" spans="2:11">
      <c r="B8" s="104"/>
      <c r="C8" s="29"/>
      <c r="D8" s="34"/>
      <c r="E8" s="35"/>
      <c r="F8" s="36"/>
      <c r="G8" s="34"/>
      <c r="H8" s="35"/>
      <c r="I8" s="36"/>
      <c r="J8" s="28"/>
      <c r="K8" s="105"/>
    </row>
    <row r="9" spans="2:11">
      <c r="B9" s="104"/>
      <c r="C9" s="29"/>
      <c r="D9" s="37" t="s">
        <v>86</v>
      </c>
      <c r="E9" s="55" t="s">
        <v>5</v>
      </c>
      <c r="F9" s="28"/>
      <c r="G9" s="29"/>
      <c r="H9" s="30" t="s">
        <v>89</v>
      </c>
      <c r="I9" s="53" t="str">
        <f>+VLOOKUP(E9,Statement!B5:E44,4,0)</f>
        <v>Administration</v>
      </c>
      <c r="J9" s="28"/>
      <c r="K9" s="105"/>
    </row>
    <row r="10" spans="2:11">
      <c r="B10" s="104"/>
      <c r="C10" s="29"/>
      <c r="D10" s="37" t="s">
        <v>87</v>
      </c>
      <c r="E10" s="51" t="str">
        <f>VLOOKUP(E9,Statement!B5:C44,2,0)</f>
        <v>FRINCE K FRANCIS</v>
      </c>
      <c r="F10" s="28"/>
      <c r="G10" s="29"/>
      <c r="H10" s="30" t="s">
        <v>90</v>
      </c>
      <c r="I10" s="53">
        <f>+VLOOKUP(E9,Attendence!B8:AP47,41,0)</f>
        <v>25</v>
      </c>
      <c r="J10" s="28"/>
      <c r="K10" s="105"/>
    </row>
    <row r="11" spans="2:11">
      <c r="B11" s="104"/>
      <c r="C11" s="29"/>
      <c r="D11" s="37" t="s">
        <v>88</v>
      </c>
      <c r="E11" s="56" t="str">
        <f>VLOOKUP(E9,Attendence!B8:D47,3,0)</f>
        <v>General Manager</v>
      </c>
      <c r="F11" s="28"/>
      <c r="G11" s="29"/>
      <c r="H11" s="30" t="s">
        <v>91</v>
      </c>
      <c r="I11" s="53">
        <f>VLOOKUP(E9,Attendence!B8:AO47,40,0)</f>
        <v>25</v>
      </c>
      <c r="J11" s="28"/>
      <c r="K11" s="105"/>
    </row>
    <row r="12" spans="2:11">
      <c r="B12" s="104"/>
      <c r="C12" s="29"/>
      <c r="D12" s="31"/>
      <c r="E12" s="54"/>
      <c r="F12" s="33"/>
      <c r="G12" s="31"/>
      <c r="H12" s="32"/>
      <c r="I12" s="33"/>
      <c r="J12" s="28"/>
      <c r="K12" s="105"/>
    </row>
    <row r="13" spans="2:11">
      <c r="B13" s="104"/>
      <c r="C13" s="29"/>
      <c r="D13" s="27"/>
      <c r="E13" s="27"/>
      <c r="F13" s="27"/>
      <c r="G13" s="27"/>
      <c r="H13" s="27"/>
      <c r="I13" s="27"/>
      <c r="J13" s="28"/>
      <c r="K13" s="105"/>
    </row>
    <row r="14" spans="2:11" s="1" customFormat="1">
      <c r="B14" s="111"/>
      <c r="C14" s="112"/>
      <c r="D14" s="40" t="s">
        <v>66</v>
      </c>
      <c r="E14" s="41"/>
      <c r="F14" s="5" t="s">
        <v>107</v>
      </c>
      <c r="G14" s="41" t="s">
        <v>108</v>
      </c>
      <c r="H14" s="41"/>
      <c r="I14" s="5" t="s">
        <v>107</v>
      </c>
      <c r="J14" s="52"/>
      <c r="K14" s="113"/>
    </row>
    <row r="15" spans="2:11">
      <c r="B15" s="104"/>
      <c r="C15" s="29"/>
      <c r="D15" s="34" t="s">
        <v>59</v>
      </c>
      <c r="E15" s="36"/>
      <c r="F15" s="114">
        <f>+VLOOKUP(E9,Statement!B5:H44,7,0)</f>
        <v>16000</v>
      </c>
      <c r="G15" s="34" t="s">
        <v>79</v>
      </c>
      <c r="H15" s="36"/>
      <c r="I15" s="114">
        <f>VLOOKUP(E9,Statement!B5:Q44,16,0)</f>
        <v>3000</v>
      </c>
      <c r="J15" s="28"/>
      <c r="K15" s="105"/>
    </row>
    <row r="16" spans="2:11">
      <c r="B16" s="104"/>
      <c r="C16" s="29"/>
      <c r="D16" s="29" t="s">
        <v>77</v>
      </c>
      <c r="E16" s="28"/>
      <c r="F16" s="115">
        <f>+VLOOKUP(E9,Statement!B5:I44,8,0)</f>
        <v>8000</v>
      </c>
      <c r="G16" s="29" t="s">
        <v>80</v>
      </c>
      <c r="H16" s="28"/>
      <c r="I16" s="115">
        <f>VLOOKUP(E9,Statement!B5:R44,17,0)</f>
        <v>0</v>
      </c>
      <c r="J16" s="28"/>
      <c r="K16" s="105"/>
    </row>
    <row r="17" spans="2:11">
      <c r="B17" s="104"/>
      <c r="C17" s="29"/>
      <c r="D17" s="29" t="s">
        <v>78</v>
      </c>
      <c r="E17" s="28"/>
      <c r="F17" s="115">
        <f>VLOOKUP(E9,Statement!B5:J44,9,0)</f>
        <v>6000</v>
      </c>
      <c r="G17" s="29" t="s">
        <v>81</v>
      </c>
      <c r="H17" s="28"/>
      <c r="I17" s="115">
        <f>VLOOKUP(E9,Statement!B5:S44,18,0)</f>
        <v>6000</v>
      </c>
      <c r="J17" s="28"/>
      <c r="K17" s="105"/>
    </row>
    <row r="18" spans="2:11">
      <c r="B18" s="104"/>
      <c r="C18" s="29"/>
      <c r="D18" s="29" t="s">
        <v>62</v>
      </c>
      <c r="E18" s="28"/>
      <c r="F18" s="115">
        <f>VLOOKUP(E9,Statement!B5:K44,10,0)</f>
        <v>3600</v>
      </c>
      <c r="G18" s="29" t="s">
        <v>82</v>
      </c>
      <c r="H18" s="28"/>
      <c r="I18" s="115">
        <f>VLOOKUP(E9,Statement!B5:T44,19,0)</f>
        <v>2500</v>
      </c>
      <c r="J18" s="28"/>
      <c r="K18" s="105"/>
    </row>
    <row r="19" spans="2:11">
      <c r="B19" s="104"/>
      <c r="C19" s="29"/>
      <c r="D19" s="29" t="s">
        <v>67</v>
      </c>
      <c r="E19" s="28"/>
      <c r="F19" s="115">
        <f>VLOOKUP(E9,Statement!B5:L44,11,0)</f>
        <v>2800</v>
      </c>
      <c r="G19" s="29" t="s">
        <v>84</v>
      </c>
      <c r="H19" s="28"/>
      <c r="I19" s="115">
        <f>VLOOKUP(E9,Statement!B5:U44,20,0)</f>
        <v>898</v>
      </c>
      <c r="J19" s="28"/>
      <c r="K19" s="105"/>
    </row>
    <row r="20" spans="2:11">
      <c r="B20" s="104"/>
      <c r="C20" s="29"/>
      <c r="D20" s="29" t="s">
        <v>63</v>
      </c>
      <c r="E20" s="28"/>
      <c r="F20" s="115">
        <f>VLOOKUP(E9,Statement!B5:M44,12,0)</f>
        <v>2000</v>
      </c>
      <c r="G20" s="29"/>
      <c r="H20" s="28"/>
      <c r="I20" s="115"/>
      <c r="J20" s="28"/>
      <c r="K20" s="105"/>
    </row>
    <row r="21" spans="2:11">
      <c r="B21" s="104"/>
      <c r="C21" s="29"/>
      <c r="D21" s="29" t="s">
        <v>64</v>
      </c>
      <c r="E21" s="28"/>
      <c r="F21" s="115">
        <f>VLOOKUP(E9,Statement!B5:N44,13,0)</f>
        <v>1600</v>
      </c>
      <c r="G21" s="29"/>
      <c r="H21" s="28"/>
      <c r="I21" s="115"/>
      <c r="J21" s="28"/>
      <c r="K21" s="105"/>
    </row>
    <row r="22" spans="2:11">
      <c r="B22" s="104"/>
      <c r="C22" s="29"/>
      <c r="D22" s="31" t="s">
        <v>65</v>
      </c>
      <c r="E22" s="33"/>
      <c r="F22" s="116">
        <f>VLOOKUP(E9,Statement!B5:O44,14,0)</f>
        <v>0</v>
      </c>
      <c r="G22" s="31"/>
      <c r="H22" s="33"/>
      <c r="I22" s="116"/>
      <c r="J22" s="28"/>
      <c r="K22" s="105"/>
    </row>
    <row r="23" spans="2:11" ht="6.75" customHeight="1">
      <c r="B23" s="104"/>
      <c r="C23" s="29"/>
      <c r="D23" s="29"/>
      <c r="E23" s="27"/>
      <c r="F23" s="118"/>
      <c r="G23" s="27"/>
      <c r="H23" s="27"/>
      <c r="I23" s="119"/>
      <c r="J23" s="28"/>
      <c r="K23" s="105"/>
    </row>
    <row r="24" spans="2:11">
      <c r="B24" s="104"/>
      <c r="C24" s="29"/>
      <c r="D24" s="42" t="s">
        <v>74</v>
      </c>
      <c r="E24" s="43"/>
      <c r="F24" s="117">
        <f>+SUM(F15:F22)</f>
        <v>40000</v>
      </c>
      <c r="G24" s="42" t="s">
        <v>85</v>
      </c>
      <c r="H24" s="43"/>
      <c r="I24" s="117">
        <f>+F24-SUM(I15:I22)</f>
        <v>27602</v>
      </c>
      <c r="J24" s="28"/>
      <c r="K24" s="105"/>
    </row>
    <row r="25" spans="2:11" ht="6.75" customHeight="1">
      <c r="B25" s="104"/>
      <c r="C25" s="29"/>
      <c r="D25" s="27"/>
      <c r="E25" s="27"/>
      <c r="F25" s="120"/>
      <c r="G25" s="27"/>
      <c r="H25" s="27"/>
      <c r="I25" s="27"/>
      <c r="J25" s="28"/>
      <c r="K25" s="105"/>
    </row>
    <row r="26" spans="2:11">
      <c r="B26" s="104"/>
      <c r="C26" s="29"/>
      <c r="D26" s="98"/>
      <c r="E26" s="99" t="str">
        <f>'Do not delete'!A26</f>
        <v>Rupees  Twenty Seven Thousand Six hundred Two Only.</v>
      </c>
      <c r="F26" s="99"/>
      <c r="G26" s="99"/>
      <c r="H26" s="99"/>
      <c r="I26" s="100"/>
      <c r="J26" s="38"/>
      <c r="K26" s="105"/>
    </row>
    <row r="27" spans="2:11">
      <c r="B27" s="104"/>
      <c r="C27" s="29"/>
      <c r="D27" s="109"/>
      <c r="E27" s="27"/>
      <c r="F27" s="27"/>
      <c r="G27" s="27"/>
      <c r="H27" s="27"/>
      <c r="I27" s="27"/>
      <c r="J27" s="28"/>
      <c r="K27" s="105"/>
    </row>
    <row r="28" spans="2:11">
      <c r="B28" s="104"/>
      <c r="C28" s="29"/>
      <c r="D28" s="39" t="s">
        <v>92</v>
      </c>
      <c r="E28" s="39"/>
      <c r="F28" s="39"/>
      <c r="G28" s="39"/>
      <c r="H28" s="39"/>
      <c r="I28" s="39"/>
      <c r="J28" s="28"/>
      <c r="K28" s="105"/>
    </row>
    <row r="29" spans="2:11" ht="10.5" customHeight="1">
      <c r="B29" s="104"/>
      <c r="C29" s="31"/>
      <c r="D29" s="32"/>
      <c r="E29" s="32"/>
      <c r="F29" s="32"/>
      <c r="G29" s="32"/>
      <c r="H29" s="32"/>
      <c r="I29" s="32"/>
      <c r="J29" s="33"/>
      <c r="K29" s="105"/>
    </row>
    <row r="30" spans="2:11" ht="7.5" customHeight="1" thickBot="1">
      <c r="B30" s="106"/>
      <c r="C30" s="107"/>
      <c r="D30" s="107"/>
      <c r="E30" s="107"/>
      <c r="F30" s="107"/>
      <c r="G30" s="107"/>
      <c r="H30" s="107"/>
      <c r="I30" s="107"/>
      <c r="J30" s="107"/>
      <c r="K30" s="108"/>
    </row>
  </sheetData>
  <mergeCells count="8">
    <mergeCell ref="D28:I28"/>
    <mergeCell ref="D14:E14"/>
    <mergeCell ref="G14:H14"/>
    <mergeCell ref="C3:J3"/>
    <mergeCell ref="C4:J4"/>
    <mergeCell ref="C5:J5"/>
    <mergeCell ref="C6:G6"/>
    <mergeCell ref="E26:I26"/>
  </mergeCells>
  <pageMargins left="0.2" right="0.2" top="0.16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2:I29"/>
  <sheetViews>
    <sheetView workbookViewId="0">
      <selection activeCell="A3" sqref="A3:I3"/>
    </sheetView>
  </sheetViews>
  <sheetFormatPr defaultRowHeight="15"/>
  <cols>
    <col min="1" max="1" width="30.5703125" style="95" customWidth="1"/>
    <col min="2" max="2" width="13.42578125" style="95" customWidth="1"/>
    <col min="3" max="16384" width="9.140625" style="95"/>
  </cols>
  <sheetData>
    <row r="2" spans="1:9" ht="33.75">
      <c r="A2" s="78" t="s">
        <v>197</v>
      </c>
      <c r="B2" s="79"/>
      <c r="C2" s="79"/>
      <c r="D2" s="79"/>
      <c r="E2" s="79"/>
      <c r="F2" s="79"/>
      <c r="G2" s="79"/>
      <c r="H2" s="79"/>
      <c r="I2" s="80"/>
    </row>
    <row r="3" spans="1:9" s="74" customFormat="1">
      <c r="A3" s="81" t="s">
        <v>109</v>
      </c>
      <c r="B3" s="81"/>
      <c r="C3" s="81"/>
      <c r="D3" s="81"/>
      <c r="E3" s="81"/>
      <c r="F3" s="81"/>
      <c r="G3" s="81"/>
      <c r="H3" s="81"/>
      <c r="I3" s="81"/>
    </row>
    <row r="4" spans="1:9" s="74" customFormat="1">
      <c r="B4" s="82">
        <f>'Salary Slip'!I24</f>
        <v>27602</v>
      </c>
      <c r="C4" s="73"/>
      <c r="D4" s="73"/>
      <c r="E4" s="73"/>
      <c r="G4" s="74" t="s">
        <v>93</v>
      </c>
    </row>
    <row r="5" spans="1:9" s="74" customFormat="1">
      <c r="A5" s="76" t="s">
        <v>94</v>
      </c>
      <c r="B5" s="83" t="e">
        <f>FIND(".",$B$4)</f>
        <v>#VALUE!</v>
      </c>
      <c r="C5" s="73"/>
      <c r="D5" s="73"/>
      <c r="E5" s="73"/>
    </row>
    <row r="6" spans="1:9" s="74" customFormat="1">
      <c r="A6" s="76" t="s">
        <v>95</v>
      </c>
      <c r="B6" s="83">
        <f>LEN(B4)</f>
        <v>5</v>
      </c>
      <c r="C6" s="73"/>
      <c r="D6" s="73"/>
      <c r="E6" s="73"/>
    </row>
    <row r="7" spans="1:9" s="74" customFormat="1">
      <c r="A7" s="76" t="s">
        <v>96</v>
      </c>
      <c r="B7" s="83" t="str">
        <f>IFERROR(FIND(".",$B$4),"")</f>
        <v/>
      </c>
      <c r="C7" s="73"/>
      <c r="D7" s="73"/>
      <c r="E7" s="73"/>
    </row>
    <row r="8" spans="1:9" s="74" customFormat="1" ht="30">
      <c r="A8" s="76" t="s">
        <v>97</v>
      </c>
      <c r="B8" s="84" t="str">
        <f>IFERROR(FIND(".",B4)-1,"")</f>
        <v/>
      </c>
      <c r="C8" s="74" t="s">
        <v>98</v>
      </c>
    </row>
    <row r="9" spans="1:9" s="74" customFormat="1" ht="23.25">
      <c r="A9" s="76" t="s">
        <v>99</v>
      </c>
      <c r="B9" s="85" t="str">
        <f>IFERROR(MID($B$4,FIND(".",$B$4),1),"")</f>
        <v/>
      </c>
      <c r="C9" s="74" t="s">
        <v>100</v>
      </c>
    </row>
    <row r="10" spans="1:9" s="74" customFormat="1" ht="30">
      <c r="A10" s="76" t="s">
        <v>101</v>
      </c>
      <c r="B10" s="86">
        <f>IF(B$9=".",B$8,LEN(B$4))</f>
        <v>5</v>
      </c>
      <c r="C10" s="74" t="s">
        <v>102</v>
      </c>
    </row>
    <row r="11" spans="1:9" s="74" customFormat="1">
      <c r="B11" s="87"/>
    </row>
    <row r="12" spans="1:9" s="74" customFormat="1">
      <c r="B12" s="87"/>
    </row>
    <row r="13" spans="1:9" s="74" customFormat="1">
      <c r="E13" s="74" t="s">
        <v>103</v>
      </c>
      <c r="F13" s="88" t="s">
        <v>104</v>
      </c>
      <c r="G13" s="88" t="s">
        <v>105</v>
      </c>
      <c r="H13" s="88" t="s">
        <v>106</v>
      </c>
      <c r="I13" s="75"/>
    </row>
    <row r="14" spans="1:9" s="74" customFormat="1">
      <c r="A14" s="89">
        <v>10</v>
      </c>
      <c r="B14" s="86" t="str">
        <f>IF((IF(B$9=".",B$8,LEN(B$4))=10),MID($B$4,1,1),"")</f>
        <v/>
      </c>
      <c r="C14" s="88" t="str">
        <f>MID(B14,1,1)</f>
        <v/>
      </c>
      <c r="D14" s="88" t="str">
        <f>MID(B14,2,1)</f>
        <v/>
      </c>
      <c r="E14" s="88" t="str">
        <f>IF($B14="1","One",IF($B14="2","Two",IF($B14="3","Three",IF($B14="4","Four",IF($B14="5","Five",IF($B14="6","Six",IF($B14="7","Seven",IF($B14="8","Eight",IF($B14="9","Nine","")))))))))</f>
        <v/>
      </c>
      <c r="F14" s="86"/>
      <c r="G14" s="86"/>
      <c r="H14" s="86"/>
      <c r="I14" s="88" t="str">
        <f>E14&amp;F14&amp;G14&amp;H14</f>
        <v/>
      </c>
    </row>
    <row r="15" spans="1:9" s="74" customFormat="1">
      <c r="A15" s="86">
        <v>9</v>
      </c>
      <c r="B15" s="86" t="str">
        <f>IF((IF(B$9=".",B$8,LEN(B$4))=10),MID($B$4,2,2),IF((IF(B$9=".",B$8,LEN(B$4))=9),MID($B$4,1,2),""))</f>
        <v/>
      </c>
      <c r="C15" s="88" t="str">
        <f>MID(B15,1,1)</f>
        <v/>
      </c>
      <c r="D15" s="88" t="str">
        <f>MID(B15,2,1)</f>
        <v/>
      </c>
      <c r="E15" s="88" t="str">
        <f>IF(B15="1","One",IF(B15="2","Two",IF(B15="3","Three",IF(B15="4","Four",IF(B15="5","Five",IF(B15="6","Six",IF(B15="7","Seven",IF(B15="8","Eight",IF(B15="9","Nine","")))))))))</f>
        <v/>
      </c>
      <c r="F15" s="88" t="str">
        <f>IF($B$15="11","Eleven",IF($B$15="12","Twelve",IF($B$15="13","Thirteen",IF($B$15="14","Forteen",IF($B$15="15","Fifteen",IF($B$15="16","Sixteen",IF($B$15="17","Seventeen",IF($B$15="18","Eighteen",IF($B$15="19","Nineteen",IF($B$15="10","Ten",""))))))))))</f>
        <v/>
      </c>
      <c r="G15" s="88" t="str">
        <f>IF($C$15="2","Twenty"&amp;" "&amp;IF($D15="1","One",IF($D15="2","Two",IF($D15="3","Three",IF($D15="4","Four",IF($D15="5","Five",IF($D15="6","Six",IF($D15="7","Seven",IF($D15="8","Eight",IF($D15="9","Nine",""))))))))),IF($C$15="3","Thirty"&amp;" "&amp;IF($D15="1","One",IF($D15="2","Two",IF($D15="3","Three",IF($D15="4","Four",IF($D15="5","Five",IF($D15="6","Six",IF($D15="7","Seven",IF($D15="8","Eight",IF($D15="9","Nine",""))))))))),IF($C$15="4","Forty"&amp;" "&amp;IF($D15="1","One",IF($D15="2","Two",IF($D15="3","Three",IF($D15="4","Four",IF($D15="5","Five",IF($D15="6","Six",IF($D15="7","Seven",IF($D15="8","Eight",IF($D15="9","Nine",""))))))))),IF($C$15="5","Fifty"&amp;" "&amp;IF($D15="1","One",IF($D15="2","Two",IF($D15="3","Three",IF($D15="4","Four",IF($D15="5","Five",IF($D15="6","Six",IF($D15="7","Seven",IF($D15="8","Eight",IF($D15="9","Nine",""))))))))),IF($C$15="6","Sixty"&amp;" "&amp;IF($D15="1","One",IF($D15="2","Two",IF($D15="3","Three",IF($D15="4","Four",IF($D15="5","Five",IF($D15="6","Six",IF($D15="7","Seven",IF($D15="8","Eight",IF($D15="9","Nine",""))))))))),IF($C$15="7","Seventy"&amp;" "&amp;IF($D15="1","One",IF($D15="2","Two",IF($D15="3","Three",IF($D15="4","Four",IF($D15="5","Five",IF($D15="6","Six",IF($D15="7","Seven",IF($D15="8","Eight",IF($D15="9","Nine",""))))))))),IF($C$15="8","Eighty"&amp;" "&amp;IF($D15="1","One",IF($D15="2","Two",IF($D15="3","Three",IF($D15="4","Four",IF($D15="5","Five",IF($D15="6","Six",IF($D15="7","Seven",IF($D15="8","Eight",IF($D15="9","Nine",""))))))))),IF($C$15="9","Ninety"&amp;" "&amp;IF($D15="1","One",IF($D15="2","Two",IF($D15="3","Three",IF($D15="4","Four",IF($D15="5","Five",IF($D15="6","Six",IF($D15="7","Seven",IF($D15="8","Eight",IF($D15="9","Nine",""))))))))),""))))))))</f>
        <v/>
      </c>
      <c r="H15" s="88" t="str">
        <f>IF($B15="01","One",IF($B15="02","Two",IF($B15="03","Three",IF($B15="04","Four",IF($B15="05","Five",IF($B15="06","Six",IF($B15="07","Seven",IF($B15="08","Eight",IF($B15="09","Nine","")))))))))</f>
        <v/>
      </c>
      <c r="I15" s="88" t="str">
        <f>E15&amp;F15&amp;G15&amp;H15</f>
        <v/>
      </c>
    </row>
    <row r="16" spans="1:9" s="74" customFormat="1">
      <c r="A16" s="86">
        <v>8</v>
      </c>
      <c r="B16" s="86" t="str">
        <f>IF((IF(B$9=".",B$8,LEN(B$4))=8),MID($B$4,1,1),"")</f>
        <v/>
      </c>
      <c r="C16" s="88" t="str">
        <f>MID(B16,1,1)</f>
        <v/>
      </c>
      <c r="D16" s="88" t="str">
        <f>MID(B16,2,1)</f>
        <v/>
      </c>
      <c r="E16" s="88" t="str">
        <f>IF(B16="1","One",IF(B16="2","Two",IF(B16="3","Three",IF(B16="4","Four",IF(B16="5","Five",IF(B16="6","Six",IF(B16="7","Seven",IF(B16="8","Eight",IF(B16="9","Nine","")))))))))</f>
        <v/>
      </c>
      <c r="F16" s="88"/>
      <c r="G16" s="88"/>
      <c r="H16" s="86"/>
      <c r="I16" s="88" t="str">
        <f>E16&amp;F16&amp;G16&amp;H16</f>
        <v/>
      </c>
    </row>
    <row r="17" spans="1:9" s="74" customFormat="1">
      <c r="A17" s="86">
        <v>7</v>
      </c>
      <c r="B17" s="90" t="str">
        <f>IF((IF(B$9=".",B$8,LEN(B$4))=10),MID($B$4,4,2),IF((IF(B$9=".",B$8,LEN(B$4))=9),MID($B$4,3,2),IF((IF(B$9=".",B$8,LEN(B$4))=8),MID($B$4,2,2),IF((IF(B$9=".",B$8,LEN(B$4))=7),MID($B$4,1,2),""))))</f>
        <v/>
      </c>
      <c r="C17" s="88" t="str">
        <f>MID(B17,1,1)</f>
        <v/>
      </c>
      <c r="D17" s="88" t="str">
        <f>MID(B17,2,1)</f>
        <v/>
      </c>
      <c r="E17" s="88"/>
      <c r="F17" s="88" t="str">
        <f>IF(B17="11","Eleven",IF(B17="12","Twelve",IF(B17="13","Thirteen",IF(B17="14","Forteen",IF(B156="15","Fifteen",IF(B17="16","Sixteen",IF(B17="17","Seventeen",IF(B17="18","Eighteen",IF(B17="19","Nineteen",IF(B17="10","Ten",""))))))))))</f>
        <v/>
      </c>
      <c r="G17" s="88" t="str">
        <f>IF(C17="2","Twenty"&amp;" "&amp;IF($D17="1","One",IF($D17="2","Two",IF($D17="3","Three",IF($D17="4","Four",IF($D17="5","Five",IF($D17="6","Six",IF($D17="7","Seven",IF($D17="8","Eight",IF($D17="9","Nine","")))))))))&amp;"",IF(C17="3","Thirty"&amp;" "&amp;IF($D17="1","One",IF($D17="2","Two",IF($D17="3","Three",IF($D17="4","Four",IF($D17="5","Five",IF($D17="6","Six",IF($D17="7","Seven",IF($D17="8","Eight",IF($D17="9","Nine","")))))))))&amp;"",IF(C17="4","Forty"&amp;" "&amp;IF($D17="1","One",IF($D17="2","Two",IF($D17="3","Three",IF($D17="4","Four",IF($D17="5","Five",IF($D17="6","Six",IF($D17="7","Seven",IF($D17="8","Eight",IF($D17="9","Nine","")))))))))&amp;"",IF(C17="5","Fifty"&amp;" "&amp;IF($D17="1","One",IF($D17="2","Two",IF($D17="3","Three",IF($D17="4","Four",IF($D17="5","Five",IF($D17="6","Six",IF($D17="7","Seven",IF($D17="8","Eight",IF($D17="9","Nine","")))))))))&amp;"",IF(C17="6","Sixty"&amp;" "&amp;IF($D17="1","One",IF($D17="2","Two",IF($D17="3","Three",IF($D17="4","Four",IF($D17="5","Five",IF($D17="6","Six",IF($D17="7","Seven",IF($D17="8","Eight",IF($D17="9","Nine","")))))))))&amp;"",IF(C17="7","Seventy"&amp;" "&amp;IF($D17="1","One",IF($D17="2","Two",IF($D17="3","Three",IF($D17="4","Four",IF($D17="5","Five",IF($D17="6","Six",IF($D17="7","Seven",IF($D17="8","Eight",IF($D17="9","Nine","")))))))))&amp;"",IF(C17="8","Eighty"&amp;" "&amp;IF($D17="1","One",IF($D17="2","Two",IF($D17="3","Three",IF($D17="4","Four",IF($D17="5","Five",IF($D17="6","Six",IF($D17="7","Seven",IF($D17="8","Eight",IF($D17="9","Nine","")))))))))&amp;"",IF(C17="9","Ninety"&amp;" "&amp;IF($D17="1","One",IF($D17="2","Two",IF($D17="3","Three",IF($D17="4","Four",IF($D17="5","Five",IF($D17="6","Six",IF($D17="7","Seven",IF($D17="8","Eight",IF($D17="9","Nine","")))))))))&amp;"",""))))))))</f>
        <v/>
      </c>
      <c r="H17" s="88" t="str">
        <f>IF($B17="01","One",IF($B17="02","Two",IF($B17="03","Three",IF($B17="04","Four",IF($B17="05","Five",IF($B17="06","Six",IF($B17="07","Seven",IF($B17="08","Eight",IF($B17="09","Nine","")))))))))</f>
        <v/>
      </c>
      <c r="I17" s="88" t="str">
        <f>E17&amp;F17&amp;G17&amp;H17</f>
        <v/>
      </c>
    </row>
    <row r="18" spans="1:9" s="74" customFormat="1">
      <c r="A18" s="86">
        <v>6</v>
      </c>
      <c r="B18" s="86" t="str">
        <f>IF((IF(B$9=".",B$8,LEN(B$4))=6),MID($B$4,1,1),"")</f>
        <v/>
      </c>
      <c r="C18" s="88" t="str">
        <f>MID(B18,1,1)</f>
        <v/>
      </c>
      <c r="D18" s="88" t="str">
        <f>MID(B18,2,1)</f>
        <v/>
      </c>
      <c r="E18" s="88" t="str">
        <f>IF($B18="1","One",IF($B18="2","Two",IF($B18="3","Three",IF($B18="4","Four",IF($B18="5","Five",IF($B18="6","Six",IF($B18="7","Seven",IF($B18="8","Eight",IF($B18="9","Nine","")))))))))</f>
        <v/>
      </c>
      <c r="F18" s="88"/>
      <c r="G18" s="88"/>
      <c r="H18" s="88"/>
      <c r="I18" s="88" t="str">
        <f>E18&amp;F18&amp;G18&amp;H18</f>
        <v/>
      </c>
    </row>
    <row r="19" spans="1:9" s="74" customFormat="1">
      <c r="A19" s="86">
        <v>5</v>
      </c>
      <c r="B19" s="90" t="str">
        <f>IF((IF(B$9=".",B$8,LEN(B$4))=10),MID($B$4,6,2),IF((IF(B$9=".",B$8,LEN(B$4))=9),MID($B$4,5,2),IF((IF(B$9=".",B$8,LEN(B$4))=8),MID($B$4,4,2),IF((IF(B$9=".",B$8,LEN(B$4))=7),MID($B$4,3,2),IF((IF(B$9=".",B$8,LEN(B$4))=6),MID($B$4,2,2),IF((IF(B$9=".",B$8,LEN(B$4))=5),MID($B$4,1,2),""))))))</f>
        <v>27</v>
      </c>
      <c r="C19" s="88" t="str">
        <f>MID(B19,1,1)</f>
        <v>2</v>
      </c>
      <c r="D19" s="88" t="str">
        <f>MID(B19,2,1)</f>
        <v>7</v>
      </c>
      <c r="E19" s="88"/>
      <c r="F19" s="88" t="str">
        <f>IF(B19="11","Eleven",IF(B19="12","Twelve",IF(B19="13","Thirteen",IF(B19="14","Forteen",IF(B158="15","Fifteen",IF(B19="16","Sixteen",IF(B19="17","Seventeen",IF(B19="18","Eighteen",IF(B19="19","Nineteen",IF(B19="10","Ten",""))))))))))</f>
        <v/>
      </c>
      <c r="G19" s="88" t="str">
        <f>IF(C19="2","Twenty"&amp;" "&amp;IF($D19="1","One",IF($D19="2","Two",IF($D19="3","Three",IF($D19="4","Four",IF($D19="5","Five",IF($D19="6","Six",IF($D19="7","Seven",IF($D19="8","Eight",IF($D19="9","Nine","")))))))))&amp;"",IF(C19="3","Thirty"&amp;" "&amp;IF($D19="1","One",IF($D19="2","Two",IF($D19="3","Three",IF($D19="4","Four",IF($D19="5","Five",IF($D19="6","Six",IF($D19="7","Seven",IF($D19="8","Eight",IF($D19="9","Nine","")))))))))&amp;"",IF(C19="4","Forty"&amp;" "&amp;IF($D19="1","One",IF($D19="2","Two",IF($D19="3","Three",IF($D19="4","Four",IF($D19="5","Five",IF($D19="6","Six",IF($D19="7","Seven",IF($D19="8","Eight",IF($D19="9","Nine","")))))))))&amp;"",IF(C19="5","Fifty"&amp;" "&amp;IF($D19="1","One",IF($D19="2","Two",IF($D19="3","Three",IF($D19="4","Four",IF($D19="5","Five",IF($D19="6","Six",IF($D19="7","Seven",IF($D19="8","Eight",IF($D19="9","Nine","")))))))))&amp;"",IF(C19="6","Sixty"&amp;" "&amp;IF($D19="1","One",IF($D19="2","Two",IF($D19="3","Three",IF($D19="4","Four",IF($D19="5","Five",IF($D19="6","Six",IF($D19="7","Seven",IF($D19="8","Eight",IF($D19="9","Nine","")))))))))&amp;"",IF(C19="7","Seventy"&amp;" "&amp;IF($D19="1","One",IF($D19="2","Two",IF($D19="3","Three",IF($D19="4","Four",IF($D19="5","Five",IF($D19="6","Six",IF($D19="7","Seven",IF($D19="8","Eight",IF($D19="9","Nine","")))))))))&amp;"",IF(C19="8","Eighty"&amp;" "&amp;IF($D19="1","One",IF($D19="2","Two",IF($D19="3","Three",IF($D19="4","Four",IF($D19="5","Five",IF($D19="6","Six",IF($D19="7","Seven",IF($D19="8","Eight",IF($D19="9","Nine","")))))))))&amp;"",IF(C19="9","Ninety"&amp;" "&amp;IF($D19="1","One",IF($D19="2","Two",IF($D19="3","Three",IF($D19="4","Four",IF($D19="5","Five",IF($D19="6","Six",IF($D19="7","Seven",IF($D19="8","Eight",IF($D19="9","Nine","")))))))))&amp;"",""))))))))</f>
        <v>Twenty Seven</v>
      </c>
      <c r="H19" s="88" t="str">
        <f>IF($B19="01","One",IF($B19="02","Two",IF($B19="03","Three",IF($B19="04","Four",IF($B19="05","Five",IF($B19="06","Six",IF($B19="07","Seven",IF($B19="08","Eight",IF($B19="09","Nine","")))))))))</f>
        <v/>
      </c>
      <c r="I19" s="88" t="str">
        <f>E19&amp;F19&amp;G19&amp;H19</f>
        <v>Twenty Seven</v>
      </c>
    </row>
    <row r="20" spans="1:9" s="74" customFormat="1">
      <c r="A20" s="86">
        <v>4</v>
      </c>
      <c r="B20" s="86" t="str">
        <f>IF((IF(B$9=".",B$8,LEN(B$4))=4),MID($B$4,1,1),"")</f>
        <v/>
      </c>
      <c r="C20" s="88" t="str">
        <f>MID(B20,1,1)</f>
        <v/>
      </c>
      <c r="D20" s="88" t="str">
        <f>MID(B20,2,1)</f>
        <v/>
      </c>
      <c r="E20" s="88" t="str">
        <f>IF($B20="1","One",IF($B20="2","Two",IF($B20="3","Three",IF($B20="4","Four",IF($B20="5","Five",IF($B20="6","Six",IF($B20="7","Seven",IF($B20="8","Eight",IF($B20="9","Nine","")))))))))</f>
        <v/>
      </c>
      <c r="F20" s="88"/>
      <c r="G20" s="88"/>
      <c r="H20" s="88"/>
      <c r="I20" s="88" t="str">
        <f>E20&amp;F20&amp;G20&amp;H20</f>
        <v/>
      </c>
    </row>
    <row r="21" spans="1:9" s="74" customFormat="1">
      <c r="A21" s="89">
        <v>3</v>
      </c>
      <c r="B21" s="90" t="str">
        <f>IF((IF(B$9=".",B$8,LEN(B$4)))=10,MID($B$4,8,1),IF((IF(B$9=".",B$8,LEN(B$4)))=9,MID($B$4,7,1),IF((IF(B$9=".",B$8,LEN(B$4)))=8,MID($B$4,6,1),IF((IF(B$9=".",B$8,LEN(B$4)))=7,MID($B$4,5,1),IF((IF(B$9=".",B$8,LEN(B$4)))=6,MID($B$4,4,1),IF((IF(B$9=".",B$8,LEN(B$4)))=5,MID($B$4,3,1),IF((IF(B$9=".",B$8,LEN(B$4)))=4,MID($B$4,2,1),IF((IF(B$9=".",B$8,LEN(B$4)))=3,MID($B$4,1,1),""))))))))</f>
        <v>6</v>
      </c>
      <c r="C21" s="88" t="str">
        <f>MID(B21,1,1)</f>
        <v>6</v>
      </c>
      <c r="D21" s="88" t="str">
        <f>MID(B21,2,1)</f>
        <v/>
      </c>
      <c r="E21" s="88" t="str">
        <f>IF($B21="1","One",IF($B21="2","Two",IF($B21="3","Three",IF($B21="4","Four",IF($B21="5","Five",IF($B21="6","Six",IF($B21="7","Seven",IF($B21="8","Eight",IF($B21="9","Nine","")))))))))</f>
        <v>Six</v>
      </c>
      <c r="F21" s="88"/>
      <c r="G21" s="88"/>
      <c r="H21" s="88"/>
      <c r="I21" s="88" t="str">
        <f>E21&amp;F21&amp;G21&amp;H21</f>
        <v>Six</v>
      </c>
    </row>
    <row r="22" spans="1:9" s="74" customFormat="1">
      <c r="A22" s="86">
        <v>2</v>
      </c>
      <c r="B22" s="90" t="str">
        <f>IF((IF(B$9=".",B$8,LEN(B$4)))=10,MID($B$4,9,2),IF((IF(B$9=".",B$8,LEN(B$4)))=9,MID($B$4,8,2),IF((IF(B$9=".",B$8,LEN(B$4)))=8,MID($B$4,7,2),IF((IF(B$9=".",B$8,LEN(B$4)))=7,MID($B$4,6,2),IF((IF(B$9=".",B$8,LEN(B$4)))=6,MID($B$4,5,2),IF((IF(B$9=".",B$8,LEN(B$4)))=5,MID($B$4,4,2),IF((IF(B$9=".",B$8,LEN(B$4)))=4,MID($B$4,3,2),IF((IF(B$9=".",B$8,LEN(B$4)))=3,MID($B$4,2,2),IF((IF(B$9=".",B$8,LEN(B$4)))=2,MID($B$4,1,2),"")))))))))</f>
        <v>02</v>
      </c>
      <c r="C22" s="88" t="str">
        <f>MID(B22,1,1)</f>
        <v>0</v>
      </c>
      <c r="D22" s="88" t="str">
        <f>MID(B22,2,1)</f>
        <v>2</v>
      </c>
      <c r="E22" s="88"/>
      <c r="F22" s="88" t="str">
        <f>IF(B22="11","Eleven",IF(B22="12","Twelve",IF(B22="13","Thirteen",IF(B22="14","Forteen",IF(B160="15","Fifteen",IF(B22="16","Sixteen",IF(B22="17","Seventeen",IF(B22="18","Eighteen",IF(B22="19","Nineteen",IF(B22="10","Ten",""))))))))))</f>
        <v/>
      </c>
      <c r="G22" s="88" t="str">
        <f>IF(C22="2","Twenty"&amp;" "&amp;IF($D22="1","One",IF($D22="2","Two",IF($D22="3","Three",IF($D22="4","Four",IF($D22="5","Five",IF($D22="6","Six",IF($D22="7","Seven",IF($D22="8","Eight",IF($D22="9","Nine","")))))))))&amp;"",IF(C22="3","Thirty"&amp;" "&amp;IF($D22="1","One",IF($D22="2","Two",IF($D22="3","Three",IF($D22="4","Four",IF($D22="5","Five",IF($D22="6","Six",IF($D22="7","Seven",IF($D22="8","Eight",IF($D22="9","Nine","")))))))))&amp;"",IF(C22="4","Forty"&amp;" "&amp;IF($D22="1","One",IF($D22="2","Two",IF($D22="3","Three",IF($D22="4","Four",IF($D22="5","Five",IF($D22="6","Six",IF($D22="7","Seven",IF($D22="8","Eight",IF($D22="9","Nine","")))))))))&amp;"",IF(C22="5","Fifty"&amp;" "&amp;IF($D22="1","One",IF($D22="2","Two",IF($D22="3","Three",IF($D22="4","Four",IF($D22="5","Five",IF($D22="6","Six",IF($D22="7","Seven",IF($D22="8","Eight",IF($D22="9","Nine","")))))))))&amp;"",IF(C22="6","Sixty"&amp;" "&amp;IF($D22="1","One",IF($D22="2","Two",IF($D22="3","Three",IF($D22="4","Four",IF($D22="5","Five",IF($D22="6","Six",IF($D22="7","Seven",IF($D22="8","Eight",IF($D22="9","Nine","")))))))))&amp;"",IF(C22="7","Seventy"&amp;" "&amp;IF($D22="1","One",IF($D22="2","Two",IF($D22="3","Three",IF($D22="4","Four",IF($D22="5","Five",IF($D22="6","Six",IF($D22="7","Seven",IF($D22="8","Eight",IF($D22="9","Nine","")))))))))&amp;"",IF(C22="8","Eighty"&amp;" "&amp;IF($D22="1","One",IF($D22="2","Two",IF($D22="3","Three",IF($D22="4","Four",IF($D22="5","Five",IF($D22="6","Six",IF($D22="7","Seven",IF($D22="8","Eight",IF($D22="9","Nine","")))))))))&amp;"",IF(C22="9","Ninety"&amp;" "&amp;IF($D22="1","One",IF($D22="2","Two",IF($D22="3","Three",IF($D22="4","Four",IF($D22="5","Five",IF($D22="6","Six",IF($D22="7","Seven",IF($D22="8","Eight",IF($D22="9","Nine","")))))))))&amp;"",""))))))))</f>
        <v/>
      </c>
      <c r="H22" s="88" t="str">
        <f>IF($B22="01","One",IF($B22="02","Two",IF($B22="03","Three",IF($B22="04","Four",IF($B22="05","Five",IF($B22="06","Six",IF($B22="07","Seven",IF($B22="08","Eight",IF($B22="09","Nine","")))))))))</f>
        <v>Two</v>
      </c>
      <c r="I22" s="88" t="str">
        <f>E22&amp;F22&amp;G22&amp;H22</f>
        <v>Two</v>
      </c>
    </row>
    <row r="23" spans="1:9" s="74" customFormat="1">
      <c r="A23" s="89">
        <v>1</v>
      </c>
      <c r="B23" s="86" t="str">
        <f>IF((IF(B$9=".",B$8,LEN(B$4)))=1,MID($B$4,1,1),"")</f>
        <v/>
      </c>
      <c r="C23" s="88" t="str">
        <f>MID(B23,1,1)</f>
        <v/>
      </c>
      <c r="D23" s="88" t="str">
        <f>MID(B23,2,1)</f>
        <v/>
      </c>
      <c r="E23" s="88" t="str">
        <f>IF($B23="1","One",IF($B23="2","Two",IF($B23="3","Three",IF($B23="4","Four",IF($B23="5","Five",IF($B23="6","Six",IF($B23="7","Seven",IF($B23="8","Eight",IF($B23="9","Nine","")))))))))</f>
        <v/>
      </c>
      <c r="F23" s="88"/>
      <c r="G23" s="88"/>
      <c r="H23" s="88"/>
      <c r="I23" s="88" t="str">
        <f>E23&amp;F23&amp;G23&amp;H23</f>
        <v/>
      </c>
    </row>
    <row r="24" spans="1:9" s="74" customFormat="1">
      <c r="A24" s="91">
        <v>-2</v>
      </c>
      <c r="B24" s="90" t="str">
        <f>IFERROR(MID($B$4,(FIND(".",$B$4)+1),2),"")</f>
        <v/>
      </c>
      <c r="C24" s="88" t="str">
        <f>MID(B24,1,1)</f>
        <v/>
      </c>
      <c r="D24" s="88" t="str">
        <f>MID(B24,2,1)</f>
        <v/>
      </c>
      <c r="E24" s="88"/>
      <c r="F24" s="88" t="str">
        <f>IF(B24="11","Eleven",IF(B24="12","Twelve",IF(B24="13","Thirteen",IF(B24="14","Forteen",IF(B162="15","Fifteen",IF(B24="16","Sixteen",IF(B24="17","Seventeen",IF(B24="18","Eighteen",IF(B24="19","Nineteen",IF(B24="10","Ten",""))))))))))</f>
        <v/>
      </c>
      <c r="G24" s="88" t="str">
        <f>IF(C24="2","Twenty"&amp;" "&amp;IF($D24="1","One",IF($D24="2","Two",IF($D24="3","Three",IF($D24="4","Four",IF($D24="5","Five",IF($D24="6","Six",IF($D24="7","Seven",IF($D24="8","Eight",IF($D24="9","Nine","")))))))))&amp;"",IF(C24="3","Thirty"&amp;" "&amp;IF($D24="1","One",IF($D24="2","Two",IF($D24="3","Three",IF($D24="4","Four",IF($D24="5","Five",IF($D24="6","Six",IF($D24="7","Seven",IF($D24="8","Eight",IF($D24="9","Nine","")))))))))&amp;"",IF(C24="4","Forty"&amp;" "&amp;IF($D24="1","One",IF($D24="2","Two",IF($D24="3","Three",IF($D24="4","Four",IF($D24="5","Five",IF($D24="6","Six",IF($D24="7","Seven",IF($D24="8","Eight",IF($D24="9","Nine","")))))))))&amp;"",IF(C24="5","Fifty"&amp;" "&amp;IF($D24="1","One",IF($D24="2","Two",IF($D24="3","Three",IF($D24="4","Four",IF($D24="5","Five",IF($D24="6","Six",IF($D24="7","Seven",IF($D24="8","Eight",IF($D24="9","Nine","")))))))))&amp;"",IF(C24="6","Sixty"&amp;" "&amp;IF($D24="1","One",IF($D24="2","Two",IF($D24="3","Three",IF($D24="4","Four",IF($D24="5","Five",IF($D24="6","Six",IF($D24="7","Seven",IF($D24="8","Eight",IF($D24="9","Nine","")))))))))&amp;"",IF(C24="7","Seventy"&amp;" "&amp;IF($D24="1","One",IF($D24="2","Two",IF($D24="3","Three",IF($D24="4","Four",IF($D24="5","Five",IF($D24="6","Six",IF($D24="7","Seven",IF($D24="8","Eight",IF($D24="9","Nine","")))))))))&amp;"",IF(C24="8","Eighty"&amp;" "&amp;IF($D24="1","One",IF($D24="2","Two",IF($D24="3","Three",IF($D24="4","Four",IF($D24="5","Five",IF($D24="6","Six",IF($D24="7","Seven",IF($D24="8","Eight",IF($D24="9","Nine","")))))))))&amp;"",IF(C24="9","Ninety"&amp;" "&amp;IF($D24="1","One",IF($D24="2","Two",IF($D24="3","Three",IF($D24="4","Four",IF($D24="5","Five",IF($D24="6","Six",IF($D24="7","Seven",IF($D24="8","Eight",IF($D24="9","Nine","")))))))))&amp;"",""))))))))</f>
        <v/>
      </c>
      <c r="H24" s="88" t="str">
        <f>IF($B24="01","One",IF($B24="02","Two",IF($B24="03","Three",IF($B24="04","Four",IF($B24="05","Five",IF($B24="06","Six",IF($B24="07","Seven",IF($B24="08","Eight",IF($B24="09","Nine","")))))))))</f>
        <v/>
      </c>
      <c r="I24" s="88" t="str">
        <f>E24&amp;F24&amp;G24&amp;H24</f>
        <v/>
      </c>
    </row>
    <row r="25" spans="1:9" s="74" customFormat="1">
      <c r="A25" s="76"/>
      <c r="D25" s="75"/>
      <c r="E25" s="75"/>
      <c r="F25" s="75"/>
      <c r="G25" s="75"/>
      <c r="H25" s="75"/>
      <c r="I25" s="75"/>
    </row>
    <row r="26" spans="1:9" s="74" customFormat="1">
      <c r="A26" s="92" t="str">
        <f>"Rupees "&amp;I14&amp;IF(I14="",""," Hundred")&amp;" "&amp;I15&amp;I16&amp;IF(AND(I14="",I15="",I16=""),""," Crore ")&amp;I17&amp;I18&amp;IF(AND(I17="",I18=""),""," Lacs ")&amp;I19&amp;I20&amp;IF(AND(I19="",I20=""),""," Thousand ")&amp;IF(I21="","",I21&amp;" hundred ")&amp;I22&amp;I23&amp;IF(I24="",""," and Paise "&amp;I24)&amp;" Only."</f>
        <v>Rupees  Twenty Seven Thousand Six hundred Two Only.</v>
      </c>
      <c r="B26" s="92"/>
      <c r="C26" s="92"/>
      <c r="D26" s="92"/>
      <c r="E26" s="92"/>
      <c r="F26" s="92"/>
      <c r="G26" s="92"/>
      <c r="H26" s="92"/>
      <c r="I26" s="92"/>
    </row>
    <row r="27" spans="1:9" s="74" customFormat="1">
      <c r="A27" s="92"/>
      <c r="B27" s="92"/>
      <c r="C27" s="92"/>
      <c r="D27" s="92"/>
      <c r="E27" s="92"/>
      <c r="F27" s="92"/>
      <c r="G27" s="92"/>
      <c r="H27" s="92"/>
      <c r="I27" s="92"/>
    </row>
    <row r="28" spans="1:9" s="74" customFormat="1">
      <c r="A28" s="93"/>
      <c r="B28" s="93"/>
      <c r="C28" s="93"/>
      <c r="D28" s="93"/>
      <c r="E28" s="93"/>
      <c r="F28" s="93"/>
      <c r="G28" s="93"/>
      <c r="H28" s="93"/>
      <c r="I28" s="93"/>
    </row>
    <row r="29" spans="1:9" s="74" customFormat="1">
      <c r="A29" s="76"/>
      <c r="C29" s="77"/>
      <c r="D29" s="75"/>
      <c r="E29" s="75"/>
      <c r="F29" s="75"/>
      <c r="G29" s="75"/>
      <c r="H29" s="75"/>
      <c r="I29" s="75"/>
    </row>
  </sheetData>
  <mergeCells count="3">
    <mergeCell ref="A2:I2"/>
    <mergeCell ref="A26:I27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Attendence</vt:lpstr>
      <vt:lpstr>Statement</vt:lpstr>
      <vt:lpstr>Salary Slip</vt:lpstr>
      <vt:lpstr>Do not delete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Dineesh</dc:creator>
  <cp:lastModifiedBy>Dineesh</cp:lastModifiedBy>
  <cp:lastPrinted>2018-08-31T10:37:41Z</cp:lastPrinted>
  <dcterms:created xsi:type="dcterms:W3CDTF">2018-08-31T06:53:05Z</dcterms:created>
  <dcterms:modified xsi:type="dcterms:W3CDTF">2018-08-31T10:37:45Z</dcterms:modified>
</cp:coreProperties>
</file>