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60" windowHeight="8340" firstSheet="1" activeTab="3"/>
  </bookViews>
  <sheets>
    <sheet name="Case Study" sheetId="4" r:id="rId1"/>
    <sheet name="Working" sheetId="1" r:id="rId2"/>
    <sheet name="Impact on Financial Statement 1" sheetId="3" r:id="rId3"/>
    <sheet name="Impact on Financial Statement 2" sheetId="6" r:id="rId4"/>
  </sheets>
  <definedNames>
    <definedName name="_xlnm.Print_Area" localSheetId="0">'Case Study'!$A$1:$H$40</definedName>
    <definedName name="_xlnm.Print_Area" localSheetId="3">'Impact on Financial Statement 2'!$A$1:$E$27</definedName>
    <definedName name="Rate">Working!$D$3:$D$4</definedName>
  </definedNames>
  <calcPr calcId="152511"/>
</workbook>
</file>

<file path=xl/calcChain.xml><?xml version="1.0" encoding="utf-8"?>
<calcChain xmlns="http://schemas.openxmlformats.org/spreadsheetml/2006/main">
  <c r="B12" i="1" l="1"/>
  <c r="K12" i="1" s="1"/>
  <c r="A5" i="3"/>
  <c r="I11" i="1"/>
  <c r="E66" i="1"/>
  <c r="R66" i="1" s="1"/>
  <c r="C11" i="1"/>
  <c r="F64" i="1" s="1"/>
  <c r="F53" i="1"/>
  <c r="F37" i="1"/>
  <c r="F21" i="1"/>
  <c r="B8" i="4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K11" i="1"/>
  <c r="E4" i="6" l="1"/>
  <c r="F29" i="1"/>
  <c r="F13" i="1"/>
  <c r="F45" i="1"/>
  <c r="B13" i="1"/>
  <c r="F25" i="1"/>
  <c r="F41" i="1"/>
  <c r="F57" i="1"/>
  <c r="F17" i="1"/>
  <c r="F33" i="1"/>
  <c r="F49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15" i="1"/>
  <c r="F19" i="1"/>
  <c r="F23" i="1"/>
  <c r="F27" i="1"/>
  <c r="F31" i="1"/>
  <c r="F35" i="1"/>
  <c r="F39" i="1"/>
  <c r="F43" i="1"/>
  <c r="F47" i="1"/>
  <c r="F51" i="1"/>
  <c r="F55" i="1"/>
  <c r="F59" i="1"/>
  <c r="F63" i="1"/>
  <c r="F61" i="1"/>
  <c r="M11" i="1"/>
  <c r="F12" i="1"/>
  <c r="F16" i="1"/>
  <c r="F20" i="1"/>
  <c r="F24" i="1"/>
  <c r="F28" i="1"/>
  <c r="F32" i="1"/>
  <c r="F36" i="1"/>
  <c r="F40" i="1"/>
  <c r="F44" i="1"/>
  <c r="F48" i="1"/>
  <c r="F52" i="1"/>
  <c r="F56" i="1"/>
  <c r="F60" i="1"/>
  <c r="F65" i="1"/>
  <c r="F66" i="1"/>
  <c r="P11" i="1"/>
  <c r="H11" i="1"/>
  <c r="D5" i="3" s="1"/>
  <c r="E5" i="6" l="1"/>
  <c r="K13" i="1"/>
  <c r="B14" i="1"/>
  <c r="P12" i="1"/>
  <c r="P13" i="1"/>
  <c r="H12" i="1"/>
  <c r="H13" i="1"/>
  <c r="B15" i="1" l="1"/>
  <c r="K14" i="1"/>
  <c r="J11" i="1"/>
  <c r="P14" i="1"/>
  <c r="A12" i="1"/>
  <c r="I12" i="1" s="1"/>
  <c r="K15" i="1" l="1"/>
  <c r="B16" i="1"/>
  <c r="J12" i="1"/>
  <c r="H14" i="1"/>
  <c r="A13" i="1"/>
  <c r="I13" i="1" s="1"/>
  <c r="K16" i="1" l="1"/>
  <c r="B17" i="1"/>
  <c r="J13" i="1"/>
  <c r="P15" i="1"/>
  <c r="H15" i="1"/>
  <c r="H16" i="1"/>
  <c r="A14" i="1"/>
  <c r="I14" i="1" s="1"/>
  <c r="B18" i="1" l="1"/>
  <c r="K17" i="1"/>
  <c r="J14" i="1"/>
  <c r="P17" i="1"/>
  <c r="H17" i="1"/>
  <c r="P16" i="1"/>
  <c r="P19" i="1"/>
  <c r="A15" i="1"/>
  <c r="I15" i="1" s="1"/>
  <c r="B19" i="1" l="1"/>
  <c r="K18" i="1"/>
  <c r="J15" i="1"/>
  <c r="H19" i="1"/>
  <c r="P18" i="1"/>
  <c r="H18" i="1"/>
  <c r="A16" i="1"/>
  <c r="I16" i="1" s="1"/>
  <c r="B20" i="1" l="1"/>
  <c r="K19" i="1"/>
  <c r="J16" i="1"/>
  <c r="P21" i="1"/>
  <c r="P20" i="1"/>
  <c r="H20" i="1"/>
  <c r="A17" i="1"/>
  <c r="I17" i="1" s="1"/>
  <c r="H21" i="1"/>
  <c r="B21" i="1" l="1"/>
  <c r="K20" i="1"/>
  <c r="J17" i="1"/>
  <c r="P22" i="1"/>
  <c r="A18" i="1"/>
  <c r="I18" i="1" s="1"/>
  <c r="H22" i="1"/>
  <c r="B22" i="1" l="1"/>
  <c r="K21" i="1"/>
  <c r="J18" i="1"/>
  <c r="P23" i="1"/>
  <c r="C11" i="3" s="1"/>
  <c r="A19" i="1"/>
  <c r="I19" i="1" s="1"/>
  <c r="H23" i="1"/>
  <c r="B23" i="1" l="1"/>
  <c r="K22" i="1"/>
  <c r="J19" i="1"/>
  <c r="P24" i="1"/>
  <c r="A20" i="1"/>
  <c r="I20" i="1" s="1"/>
  <c r="H24" i="1"/>
  <c r="B24" i="1" l="1"/>
  <c r="K23" i="1"/>
  <c r="J20" i="1"/>
  <c r="P25" i="1"/>
  <c r="A21" i="1"/>
  <c r="I21" i="1" s="1"/>
  <c r="H25" i="1"/>
  <c r="B25" i="1" l="1"/>
  <c r="K24" i="1"/>
  <c r="J21" i="1"/>
  <c r="P26" i="1"/>
  <c r="A22" i="1"/>
  <c r="I22" i="1" s="1"/>
  <c r="H26" i="1"/>
  <c r="B26" i="1" l="1"/>
  <c r="K25" i="1"/>
  <c r="J22" i="1"/>
  <c r="P27" i="1"/>
  <c r="A23" i="1"/>
  <c r="I23" i="1" s="1"/>
  <c r="H27" i="1"/>
  <c r="B27" i="1" l="1"/>
  <c r="K26" i="1"/>
  <c r="J23" i="1"/>
  <c r="P28" i="1"/>
  <c r="A24" i="1"/>
  <c r="I24" i="1" s="1"/>
  <c r="H28" i="1"/>
  <c r="B28" i="1" l="1"/>
  <c r="K27" i="1"/>
  <c r="J24" i="1"/>
  <c r="P29" i="1"/>
  <c r="A25" i="1"/>
  <c r="I25" i="1" s="1"/>
  <c r="H29" i="1"/>
  <c r="B29" i="1" l="1"/>
  <c r="K28" i="1"/>
  <c r="J25" i="1"/>
  <c r="P30" i="1"/>
  <c r="A26" i="1"/>
  <c r="I26" i="1" s="1"/>
  <c r="H30" i="1"/>
  <c r="B30" i="1" l="1"/>
  <c r="K29" i="1"/>
  <c r="J26" i="1"/>
  <c r="P31" i="1"/>
  <c r="A27" i="1"/>
  <c r="I27" i="1" s="1"/>
  <c r="H31" i="1"/>
  <c r="B31" i="1" l="1"/>
  <c r="K30" i="1"/>
  <c r="J27" i="1"/>
  <c r="P32" i="1"/>
  <c r="A28" i="1"/>
  <c r="I28" i="1" s="1"/>
  <c r="H32" i="1"/>
  <c r="B32" i="1" l="1"/>
  <c r="K31" i="1"/>
  <c r="J28" i="1"/>
  <c r="P33" i="1"/>
  <c r="A29" i="1"/>
  <c r="I29" i="1" s="1"/>
  <c r="H33" i="1"/>
  <c r="B33" i="1" l="1"/>
  <c r="K32" i="1"/>
  <c r="J29" i="1"/>
  <c r="P34" i="1"/>
  <c r="A30" i="1"/>
  <c r="I30" i="1" s="1"/>
  <c r="H34" i="1"/>
  <c r="B34" i="1" l="1"/>
  <c r="K34" i="1" s="1"/>
  <c r="K33" i="1"/>
  <c r="J30" i="1"/>
  <c r="P35" i="1"/>
  <c r="A31" i="1"/>
  <c r="I31" i="1" s="1"/>
  <c r="H35" i="1"/>
  <c r="C12" i="3" l="1"/>
  <c r="C17" i="6"/>
  <c r="B35" i="1"/>
  <c r="J31" i="1"/>
  <c r="P36" i="1"/>
  <c r="A32" i="1"/>
  <c r="I32" i="1" s="1"/>
  <c r="H36" i="1"/>
  <c r="B36" i="1" l="1"/>
  <c r="K35" i="1"/>
  <c r="J32" i="1"/>
  <c r="P37" i="1"/>
  <c r="A33" i="1"/>
  <c r="I33" i="1" s="1"/>
  <c r="H37" i="1"/>
  <c r="B37" i="1" l="1"/>
  <c r="K36" i="1"/>
  <c r="J33" i="1"/>
  <c r="P38" i="1"/>
  <c r="A34" i="1"/>
  <c r="I34" i="1" s="1"/>
  <c r="H38" i="1"/>
  <c r="B38" i="1" l="1"/>
  <c r="K37" i="1"/>
  <c r="J34" i="1"/>
  <c r="P39" i="1"/>
  <c r="A35" i="1"/>
  <c r="I35" i="1" s="1"/>
  <c r="H39" i="1"/>
  <c r="B39" i="1" l="1"/>
  <c r="K38" i="1"/>
  <c r="J35" i="1"/>
  <c r="P40" i="1"/>
  <c r="A36" i="1"/>
  <c r="I36" i="1" s="1"/>
  <c r="H40" i="1"/>
  <c r="B40" i="1" l="1"/>
  <c r="K39" i="1"/>
  <c r="J36" i="1"/>
  <c r="P41" i="1"/>
  <c r="A37" i="1"/>
  <c r="I37" i="1" s="1"/>
  <c r="H41" i="1"/>
  <c r="B41" i="1" l="1"/>
  <c r="K40" i="1"/>
  <c r="J37" i="1"/>
  <c r="P42" i="1"/>
  <c r="A38" i="1"/>
  <c r="I38" i="1" s="1"/>
  <c r="H42" i="1"/>
  <c r="B42" i="1" l="1"/>
  <c r="K41" i="1"/>
  <c r="J38" i="1"/>
  <c r="P43" i="1"/>
  <c r="A39" i="1"/>
  <c r="I39" i="1" s="1"/>
  <c r="H43" i="1"/>
  <c r="B43" i="1" l="1"/>
  <c r="K42" i="1"/>
  <c r="J39" i="1"/>
  <c r="P44" i="1"/>
  <c r="A40" i="1"/>
  <c r="I40" i="1" s="1"/>
  <c r="H44" i="1"/>
  <c r="B44" i="1" l="1"/>
  <c r="K43" i="1"/>
  <c r="J40" i="1"/>
  <c r="P45" i="1"/>
  <c r="A41" i="1"/>
  <c r="I41" i="1" s="1"/>
  <c r="H45" i="1"/>
  <c r="B45" i="1" l="1"/>
  <c r="K44" i="1"/>
  <c r="J41" i="1"/>
  <c r="P46" i="1"/>
  <c r="A42" i="1"/>
  <c r="I42" i="1" s="1"/>
  <c r="H46" i="1"/>
  <c r="B46" i="1" l="1"/>
  <c r="K45" i="1"/>
  <c r="J42" i="1"/>
  <c r="P47" i="1"/>
  <c r="A43" i="1"/>
  <c r="I43" i="1" s="1"/>
  <c r="H47" i="1"/>
  <c r="C13" i="3" l="1"/>
  <c r="C18" i="6"/>
  <c r="B47" i="1"/>
  <c r="K46" i="1"/>
  <c r="J43" i="1"/>
  <c r="P48" i="1"/>
  <c r="A44" i="1"/>
  <c r="I44" i="1" s="1"/>
  <c r="H48" i="1"/>
  <c r="B48" i="1" l="1"/>
  <c r="K47" i="1"/>
  <c r="J44" i="1"/>
  <c r="P49" i="1"/>
  <c r="A45" i="1"/>
  <c r="I45" i="1" s="1"/>
  <c r="H49" i="1"/>
  <c r="B49" i="1" l="1"/>
  <c r="K48" i="1"/>
  <c r="J45" i="1"/>
  <c r="P50" i="1"/>
  <c r="A46" i="1"/>
  <c r="I46" i="1" s="1"/>
  <c r="H50" i="1"/>
  <c r="B50" i="1" l="1"/>
  <c r="K49" i="1"/>
  <c r="J46" i="1"/>
  <c r="P51" i="1"/>
  <c r="A47" i="1"/>
  <c r="I47" i="1" s="1"/>
  <c r="H51" i="1"/>
  <c r="B51" i="1" l="1"/>
  <c r="K50" i="1"/>
  <c r="J47" i="1"/>
  <c r="P52" i="1"/>
  <c r="A48" i="1"/>
  <c r="I48" i="1" s="1"/>
  <c r="H52" i="1"/>
  <c r="B52" i="1" l="1"/>
  <c r="K51" i="1"/>
  <c r="J48" i="1"/>
  <c r="P53" i="1"/>
  <c r="A49" i="1"/>
  <c r="I49" i="1" s="1"/>
  <c r="H53" i="1"/>
  <c r="B53" i="1" l="1"/>
  <c r="K52" i="1"/>
  <c r="J49" i="1"/>
  <c r="P54" i="1"/>
  <c r="A50" i="1"/>
  <c r="I50" i="1" s="1"/>
  <c r="H54" i="1"/>
  <c r="B54" i="1" l="1"/>
  <c r="K53" i="1"/>
  <c r="J50" i="1"/>
  <c r="P55" i="1"/>
  <c r="A51" i="1"/>
  <c r="I51" i="1" s="1"/>
  <c r="H55" i="1"/>
  <c r="B55" i="1" l="1"/>
  <c r="K54" i="1"/>
  <c r="J51" i="1"/>
  <c r="P56" i="1"/>
  <c r="A52" i="1"/>
  <c r="I52" i="1" s="1"/>
  <c r="H56" i="1"/>
  <c r="B56" i="1" l="1"/>
  <c r="K55" i="1"/>
  <c r="J52" i="1"/>
  <c r="P57" i="1"/>
  <c r="A53" i="1"/>
  <c r="I53" i="1" s="1"/>
  <c r="H57" i="1"/>
  <c r="B57" i="1" l="1"/>
  <c r="K56" i="1"/>
  <c r="J53" i="1"/>
  <c r="P58" i="1"/>
  <c r="A54" i="1"/>
  <c r="I54" i="1" s="1"/>
  <c r="H58" i="1"/>
  <c r="B58" i="1" l="1"/>
  <c r="K57" i="1"/>
  <c r="J54" i="1"/>
  <c r="P59" i="1"/>
  <c r="A55" i="1"/>
  <c r="I55" i="1" s="1"/>
  <c r="H59" i="1"/>
  <c r="C14" i="3" l="1"/>
  <c r="C19" i="6"/>
  <c r="B59" i="1"/>
  <c r="K58" i="1"/>
  <c r="J55" i="1"/>
  <c r="P60" i="1"/>
  <c r="A56" i="1"/>
  <c r="I56" i="1" s="1"/>
  <c r="H60" i="1"/>
  <c r="B60" i="1" l="1"/>
  <c r="K59" i="1"/>
  <c r="J56" i="1"/>
  <c r="P61" i="1"/>
  <c r="A57" i="1"/>
  <c r="I57" i="1" s="1"/>
  <c r="H61" i="1"/>
  <c r="B61" i="1" l="1"/>
  <c r="K60" i="1"/>
  <c r="J57" i="1"/>
  <c r="P62" i="1"/>
  <c r="A58" i="1"/>
  <c r="I58" i="1" s="1"/>
  <c r="H62" i="1"/>
  <c r="B62" i="1" l="1"/>
  <c r="K61" i="1"/>
  <c r="J58" i="1"/>
  <c r="P63" i="1"/>
  <c r="A59" i="1"/>
  <c r="I59" i="1" s="1"/>
  <c r="H63" i="1"/>
  <c r="B63" i="1" l="1"/>
  <c r="K62" i="1"/>
  <c r="J59" i="1"/>
  <c r="P64" i="1"/>
  <c r="A60" i="1"/>
  <c r="I60" i="1" s="1"/>
  <c r="H64" i="1"/>
  <c r="B64" i="1" l="1"/>
  <c r="K63" i="1"/>
  <c r="P65" i="1"/>
  <c r="P66" i="1"/>
  <c r="C15" i="3" s="1"/>
  <c r="J60" i="1"/>
  <c r="A61" i="1"/>
  <c r="I61" i="1" s="1"/>
  <c r="H65" i="1"/>
  <c r="C20" i="6" l="1"/>
  <c r="B65" i="1"/>
  <c r="K64" i="1"/>
  <c r="J61" i="1"/>
  <c r="A62" i="1"/>
  <c r="I62" i="1" s="1"/>
  <c r="H66" i="1"/>
  <c r="B66" i="1" l="1"/>
  <c r="K65" i="1"/>
  <c r="J62" i="1"/>
  <c r="J3" i="1"/>
  <c r="J4" i="1" s="1"/>
  <c r="A63" i="1"/>
  <c r="I63" i="1" s="1"/>
  <c r="K66" i="1" l="1"/>
  <c r="J63" i="1"/>
  <c r="A64" i="1"/>
  <c r="I64" i="1" s="1"/>
  <c r="J64" i="1" l="1"/>
  <c r="A65" i="1"/>
  <c r="I65" i="1" s="1"/>
  <c r="J65" i="1" l="1"/>
  <c r="A66" i="1"/>
  <c r="I66" i="1" s="1"/>
  <c r="J66" i="1" l="1"/>
  <c r="J2" i="1" s="1"/>
  <c r="N11" i="1" s="1"/>
  <c r="E7" i="3" s="1"/>
  <c r="O11" i="1" l="1"/>
  <c r="Q11" i="1" s="1"/>
  <c r="S11" i="1" s="1"/>
  <c r="L12" i="1" l="1"/>
  <c r="O12" i="1" s="1"/>
  <c r="E6" i="3"/>
  <c r="Q12" i="1" l="1"/>
  <c r="S12" i="1" l="1"/>
  <c r="L13" i="1" s="1"/>
  <c r="O13" i="1" s="1"/>
  <c r="Q13" i="1" l="1"/>
  <c r="S13" i="1" l="1"/>
  <c r="L14" i="1" s="1"/>
  <c r="O14" i="1" s="1"/>
  <c r="Q14" i="1" l="1"/>
  <c r="S14" i="1" l="1"/>
  <c r="L15" i="1" s="1"/>
  <c r="O15" i="1" s="1"/>
  <c r="Q15" i="1" l="1"/>
  <c r="S15" i="1" l="1"/>
  <c r="L16" i="1" s="1"/>
  <c r="O16" i="1" s="1"/>
  <c r="Q16" i="1" l="1"/>
  <c r="S16" i="1" l="1"/>
  <c r="L17" i="1" s="1"/>
  <c r="O17" i="1" s="1"/>
  <c r="Q17" i="1" s="1"/>
  <c r="S17" i="1" s="1"/>
  <c r="L18" i="1" s="1"/>
  <c r="O18" i="1" s="1"/>
  <c r="Q18" i="1" s="1"/>
  <c r="S18" i="1" s="1"/>
  <c r="L19" i="1" s="1"/>
  <c r="O19" i="1" s="1"/>
  <c r="Q19" i="1" s="1"/>
  <c r="S19" i="1" s="1"/>
  <c r="L20" i="1" s="1"/>
  <c r="O20" i="1" s="1"/>
  <c r="Q20" i="1" s="1"/>
  <c r="S20" i="1" s="1"/>
  <c r="L21" i="1" s="1"/>
  <c r="O21" i="1" s="1"/>
  <c r="Q21" i="1" s="1"/>
  <c r="S21" i="1" s="1"/>
  <c r="L22" i="1" s="1"/>
  <c r="O22" i="1" s="1"/>
  <c r="Q22" i="1" s="1"/>
  <c r="S22" i="1" s="1"/>
  <c r="L23" i="1" s="1"/>
  <c r="O23" i="1" s="1"/>
  <c r="Q23" i="1" l="1"/>
  <c r="B11" i="3"/>
  <c r="E12" i="6" s="1"/>
  <c r="S23" i="1" l="1"/>
  <c r="D11" i="3"/>
  <c r="E11" i="3" s="1"/>
  <c r="L24" i="1" l="1"/>
  <c r="O24" i="1" s="1"/>
  <c r="C19" i="3"/>
  <c r="D11" i="6" s="1"/>
  <c r="Q24" i="1" l="1"/>
  <c r="E13" i="6"/>
  <c r="C24" i="6"/>
  <c r="S24" i="1"/>
  <c r="L25" i="1" s="1"/>
  <c r="O25" i="1" s="1"/>
  <c r="Q25" i="1" l="1"/>
  <c r="S25" i="1" l="1"/>
  <c r="L26" i="1" s="1"/>
  <c r="O26" i="1" s="1"/>
  <c r="Q26" i="1" l="1"/>
  <c r="S26" i="1" l="1"/>
  <c r="L27" i="1" s="1"/>
  <c r="O27" i="1" s="1"/>
  <c r="Q27" i="1" l="1"/>
  <c r="S27" i="1" l="1"/>
  <c r="L28" i="1" s="1"/>
  <c r="O28" i="1" s="1"/>
  <c r="Q28" i="1" l="1"/>
  <c r="S28" i="1" l="1"/>
  <c r="L29" i="1" s="1"/>
  <c r="O29" i="1" s="1"/>
  <c r="Q29" i="1" s="1"/>
  <c r="S29" i="1" s="1"/>
  <c r="L30" i="1" s="1"/>
  <c r="O30" i="1" s="1"/>
  <c r="Q30" i="1" s="1"/>
  <c r="S30" i="1" s="1"/>
  <c r="L31" i="1" s="1"/>
  <c r="O31" i="1" s="1"/>
  <c r="Q31" i="1" s="1"/>
  <c r="S31" i="1" s="1"/>
  <c r="L32" i="1" s="1"/>
  <c r="O32" i="1" s="1"/>
  <c r="Q32" i="1" s="1"/>
  <c r="S32" i="1" s="1"/>
  <c r="L33" i="1" s="1"/>
  <c r="O33" i="1" s="1"/>
  <c r="Q33" i="1" s="1"/>
  <c r="S33" i="1" s="1"/>
  <c r="L34" i="1" s="1"/>
  <c r="O34" i="1" s="1"/>
  <c r="Q34" i="1" s="1"/>
  <c r="S34" i="1" s="1"/>
  <c r="L35" i="1" s="1"/>
  <c r="O35" i="1" s="1"/>
  <c r="B17" i="6" s="1"/>
  <c r="Q35" i="1" l="1"/>
  <c r="D17" i="6" s="1"/>
  <c r="E17" i="6" s="1"/>
  <c r="B12" i="3"/>
  <c r="S35" i="1" l="1"/>
  <c r="C25" i="6" s="1"/>
  <c r="D12" i="3"/>
  <c r="E12" i="3" s="1"/>
  <c r="E24" i="6" l="1"/>
  <c r="D24" i="6" s="1"/>
  <c r="L36" i="1"/>
  <c r="O36" i="1" s="1"/>
  <c r="C20" i="3"/>
  <c r="Q36" i="1" l="1"/>
  <c r="E19" i="3"/>
  <c r="D19" i="3" s="1"/>
  <c r="S36" i="1"/>
  <c r="L37" i="1" s="1"/>
  <c r="O37" i="1" s="1"/>
  <c r="Q37" i="1" l="1"/>
  <c r="S37" i="1" l="1"/>
  <c r="L38" i="1" s="1"/>
  <c r="O38" i="1" s="1"/>
  <c r="Q38" i="1" l="1"/>
  <c r="S38" i="1" l="1"/>
  <c r="L39" i="1" s="1"/>
  <c r="O39" i="1" s="1"/>
  <c r="Q39" i="1" l="1"/>
  <c r="S39" i="1" l="1"/>
  <c r="L40" i="1" s="1"/>
  <c r="O40" i="1" s="1"/>
  <c r="Q40" i="1" l="1"/>
  <c r="S40" i="1" l="1"/>
  <c r="L41" i="1" s="1"/>
  <c r="O41" i="1" s="1"/>
  <c r="Q41" i="1" s="1"/>
  <c r="S41" i="1" s="1"/>
  <c r="L42" i="1" s="1"/>
  <c r="O42" i="1" s="1"/>
  <c r="Q42" i="1" s="1"/>
  <c r="S42" i="1" s="1"/>
  <c r="L43" i="1" s="1"/>
  <c r="O43" i="1" s="1"/>
  <c r="Q43" i="1" s="1"/>
  <c r="S43" i="1" s="1"/>
  <c r="L44" i="1" s="1"/>
  <c r="O44" i="1" s="1"/>
  <c r="Q44" i="1" s="1"/>
  <c r="S44" i="1" s="1"/>
  <c r="L45" i="1" s="1"/>
  <c r="O45" i="1" s="1"/>
  <c r="Q45" i="1" s="1"/>
  <c r="S45" i="1" s="1"/>
  <c r="L46" i="1" s="1"/>
  <c r="O46" i="1" s="1"/>
  <c r="Q46" i="1" s="1"/>
  <c r="S46" i="1" s="1"/>
  <c r="L47" i="1" s="1"/>
  <c r="O47" i="1" s="1"/>
  <c r="B18" i="6" s="1"/>
  <c r="Q47" i="1" l="1"/>
  <c r="D18" i="6" s="1"/>
  <c r="E18" i="6" s="1"/>
  <c r="B13" i="3"/>
  <c r="S47" i="1" l="1"/>
  <c r="C26" i="6" s="1"/>
  <c r="E25" i="6" s="1"/>
  <c r="D25" i="6" s="1"/>
  <c r="D13" i="3"/>
  <c r="E13" i="3" s="1"/>
  <c r="L48" i="1" l="1"/>
  <c r="O48" i="1" s="1"/>
  <c r="C21" i="3"/>
  <c r="Q48" i="1" l="1"/>
  <c r="S48" i="1" s="1"/>
  <c r="L49" i="1" s="1"/>
  <c r="O49" i="1" s="1"/>
  <c r="E20" i="3"/>
  <c r="D20" i="3" s="1"/>
  <c r="Q49" i="1" l="1"/>
  <c r="S49" i="1" l="1"/>
  <c r="L50" i="1" s="1"/>
  <c r="O50" i="1" s="1"/>
  <c r="Q50" i="1" l="1"/>
  <c r="S50" i="1" l="1"/>
  <c r="L51" i="1" s="1"/>
  <c r="O51" i="1" s="1"/>
  <c r="Q51" i="1" l="1"/>
  <c r="S51" i="1" l="1"/>
  <c r="L52" i="1" s="1"/>
  <c r="O52" i="1" s="1"/>
  <c r="Q52" i="1" l="1"/>
  <c r="S52" i="1" l="1"/>
  <c r="L53" i="1" s="1"/>
  <c r="O53" i="1" s="1"/>
  <c r="Q53" i="1" s="1"/>
  <c r="S53" i="1" s="1"/>
  <c r="L54" i="1" s="1"/>
  <c r="O54" i="1" s="1"/>
  <c r="Q54" i="1" s="1"/>
  <c r="S54" i="1" s="1"/>
  <c r="L55" i="1" s="1"/>
  <c r="O55" i="1" s="1"/>
  <c r="Q55" i="1" s="1"/>
  <c r="S55" i="1" s="1"/>
  <c r="L56" i="1" s="1"/>
  <c r="O56" i="1" s="1"/>
  <c r="Q56" i="1" s="1"/>
  <c r="S56" i="1" s="1"/>
  <c r="L57" i="1" s="1"/>
  <c r="O57" i="1" s="1"/>
  <c r="Q57" i="1" s="1"/>
  <c r="S57" i="1" s="1"/>
  <c r="L58" i="1" s="1"/>
  <c r="O58" i="1" s="1"/>
  <c r="Q58" i="1" s="1"/>
  <c r="S58" i="1" s="1"/>
  <c r="L59" i="1" s="1"/>
  <c r="O59" i="1" s="1"/>
  <c r="B19" i="6" s="1"/>
  <c r="Q59" i="1" l="1"/>
  <c r="D19" i="6" s="1"/>
  <c r="E19" i="6" s="1"/>
  <c r="B14" i="3"/>
  <c r="S59" i="1" l="1"/>
  <c r="C27" i="6" s="1"/>
  <c r="D14" i="3"/>
  <c r="E14" i="3" s="1"/>
  <c r="D27" i="6" l="1"/>
  <c r="E26" i="6"/>
  <c r="D26" i="6" s="1"/>
  <c r="L60" i="1"/>
  <c r="O60" i="1" s="1"/>
  <c r="C22" i="3"/>
  <c r="Q60" i="1" l="1"/>
  <c r="E21" i="3"/>
  <c r="D21" i="3" s="1"/>
  <c r="D22" i="3"/>
  <c r="S60" i="1"/>
  <c r="L61" i="1" s="1"/>
  <c r="O61" i="1" s="1"/>
  <c r="Q61" i="1" l="1"/>
  <c r="S61" i="1" l="1"/>
  <c r="L62" i="1" s="1"/>
  <c r="O62" i="1" s="1"/>
  <c r="Q62" i="1" l="1"/>
  <c r="S62" i="1" l="1"/>
  <c r="L63" i="1" s="1"/>
  <c r="O63" i="1" s="1"/>
  <c r="Q63" i="1" l="1"/>
  <c r="S63" i="1" l="1"/>
  <c r="L64" i="1" s="1"/>
  <c r="O64" i="1" s="1"/>
  <c r="Q64" i="1" l="1"/>
  <c r="S64" i="1" l="1"/>
  <c r="L65" i="1" s="1"/>
  <c r="O65" i="1" s="1"/>
  <c r="Q65" i="1" s="1"/>
  <c r="S65" i="1" s="1"/>
  <c r="L66" i="1" s="1"/>
  <c r="O66" i="1" s="1"/>
  <c r="B20" i="6" s="1"/>
  <c r="Q66" i="1" l="1"/>
  <c r="D20" i="6" s="1"/>
  <c r="E20" i="6" s="1"/>
  <c r="B15" i="3"/>
  <c r="S66" i="1" l="1"/>
  <c r="D15" i="3"/>
  <c r="E15" i="3" s="1"/>
</calcChain>
</file>

<file path=xl/sharedStrings.xml><?xml version="1.0" encoding="utf-8"?>
<sst xmlns="http://schemas.openxmlformats.org/spreadsheetml/2006/main" count="92" uniqueCount="67">
  <si>
    <t>Period</t>
  </si>
  <si>
    <t>Time</t>
  </si>
  <si>
    <t>Inflow</t>
  </si>
  <si>
    <t>Transaction Costs</t>
  </si>
  <si>
    <t>Repayment</t>
  </si>
  <si>
    <t>Interest</t>
  </si>
  <si>
    <t>Other Outflow</t>
  </si>
  <si>
    <t>Net</t>
  </si>
  <si>
    <t>PVF</t>
  </si>
  <si>
    <t>PV</t>
  </si>
  <si>
    <t>Opening</t>
  </si>
  <si>
    <t>Date</t>
  </si>
  <si>
    <t>Interest (IRR)</t>
  </si>
  <si>
    <t>Interest (Actual)</t>
  </si>
  <si>
    <t>Difference</t>
  </si>
  <si>
    <t>Closing</t>
  </si>
  <si>
    <t>Amortisation Chart</t>
  </si>
  <si>
    <t>Present Value</t>
  </si>
  <si>
    <t>Nature of Instrument</t>
  </si>
  <si>
    <t>Term Loan</t>
  </si>
  <si>
    <t>Intrument Interest Rate</t>
  </si>
  <si>
    <t>Fair Interest Rate</t>
  </si>
  <si>
    <t>NPV</t>
  </si>
  <si>
    <t>Monthly IRR</t>
  </si>
  <si>
    <t>Annual IRR</t>
  </si>
  <si>
    <t>Inflow (Net)</t>
  </si>
  <si>
    <t>Fair Value Changes</t>
  </si>
  <si>
    <t>Statement of Cash Flows (As per Intrument Terms &amp; Conditions)</t>
  </si>
  <si>
    <t>Amount</t>
  </si>
  <si>
    <t>Discounting Rate (Select)</t>
  </si>
  <si>
    <t>Bank Account</t>
  </si>
  <si>
    <t>Dr.</t>
  </si>
  <si>
    <t>To Loan Account</t>
  </si>
  <si>
    <t>To Statement of Profit and Loss</t>
  </si>
  <si>
    <t>Initial Journal Entry</t>
  </si>
  <si>
    <t>2014-15</t>
  </si>
  <si>
    <t>2015-16</t>
  </si>
  <si>
    <t>2016-17</t>
  </si>
  <si>
    <t>2017-18</t>
  </si>
  <si>
    <t>2018-19</t>
  </si>
  <si>
    <t>Interest Expenses Debited</t>
  </si>
  <si>
    <t>Bank Account Credited</t>
  </si>
  <si>
    <t>Loan Account Credited</t>
  </si>
  <si>
    <t>Year Wise</t>
  </si>
  <si>
    <t>Loan Balance</t>
  </si>
  <si>
    <t>Current</t>
  </si>
  <si>
    <t>Non-Current</t>
  </si>
  <si>
    <t>Sr. No.</t>
  </si>
  <si>
    <t>Impact on Profit and Loss Account</t>
  </si>
  <si>
    <t>Impact on Balance Sheet</t>
  </si>
  <si>
    <t>1. Date of Loan is 01st April 2014.</t>
  </si>
  <si>
    <t>2. Transaction Costs of Rs. 24,00,000 incurred as on 01st April 2014.</t>
  </si>
  <si>
    <t>4. Loan is to be repaid as per following details:</t>
  </si>
  <si>
    <t>5. Interest Rate is 11.75% p.a. which is to be charged on monthly basis on opening balance of principal amount.</t>
  </si>
  <si>
    <t>6. Fair Market Interest Rate is 15%.</t>
  </si>
  <si>
    <t>3. Total Loan amount is Rs. 24 Crore. But it will be disbursed in parts as on following:</t>
  </si>
  <si>
    <t>Case Study</t>
  </si>
  <si>
    <t>Impact on Financial Statements : If Entity is applying Ind AS from 01/04/2014</t>
  </si>
  <si>
    <t>Impact on Financial Statements : If 31/03/2015 is Transition Date</t>
  </si>
  <si>
    <t>Existing Balance of Loan as on 31/03/2015 as per AS</t>
  </si>
  <si>
    <t>Expenses already recognised during the year 2014-15</t>
  </si>
  <si>
    <t>Journal Entry - Transition Effect</t>
  </si>
  <si>
    <t>Loan Account</t>
  </si>
  <si>
    <t>Remarks</t>
  </si>
  <si>
    <t>Balance of Loan as per AS - Balance of Loan as per Ind AS</t>
  </si>
  <si>
    <t>Expenses Excess recognised as per AS, now revered</t>
  </si>
  <si>
    <t>Income not booked under AS but to be booked under Ind AS, now booked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</si>
</sst>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_ * #,##0.000_ ;_ * \-#,##0.000_ ;_ * &quot;-&quot;??_ ;_ @_ "/>
    <numFmt numFmtId="166" formatCode="dd\/mm\/yyyy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Border="1"/>
    <xf numFmtId="164" fontId="0" fillId="0" borderId="0" xfId="1" applyNumberFormat="1" applyFont="1"/>
    <xf numFmtId="166" fontId="0" fillId="0" borderId="0" xfId="0" applyNumberFormat="1"/>
    <xf numFmtId="164" fontId="0" fillId="0" borderId="1" xfId="1" applyNumberFormat="1" applyFont="1" applyBorder="1" applyAlignment="1">
      <alignment horizontal="left" vertical="center"/>
    </xf>
    <xf numFmtId="164" fontId="0" fillId="0" borderId="1" xfId="1" applyNumberFormat="1" applyFont="1" applyBorder="1"/>
    <xf numFmtId="14" fontId="0" fillId="0" borderId="1" xfId="0" applyNumberFormat="1" applyBorder="1"/>
    <xf numFmtId="166" fontId="4" fillId="0" borderId="0" xfId="0" applyNumberFormat="1" applyFont="1"/>
    <xf numFmtId="164" fontId="4" fillId="0" borderId="16" xfId="1" applyNumberFormat="1" applyFont="1" applyBorder="1" applyAlignment="1">
      <alignment vertical="center"/>
    </xf>
    <xf numFmtId="164" fontId="4" fillId="0" borderId="16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164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4" fillId="0" borderId="1" xfId="1" applyNumberFormat="1" applyFont="1" applyBorder="1"/>
    <xf numFmtId="166" fontId="0" fillId="0" borderId="0" xfId="0" applyNumberFormat="1" applyBorder="1"/>
    <xf numFmtId="164" fontId="0" fillId="0" borderId="0" xfId="1" applyNumberFormat="1" applyFont="1" applyBorder="1"/>
    <xf numFmtId="166" fontId="3" fillId="0" borderId="0" xfId="0" applyNumberFormat="1" applyFont="1" applyFill="1" applyBorder="1"/>
    <xf numFmtId="0" fontId="4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Border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4" fillId="0" borderId="10" xfId="0" applyFont="1" applyBorder="1" applyAlignment="1" applyProtection="1">
      <alignment horizontal="left"/>
    </xf>
    <xf numFmtId="0" fontId="4" fillId="0" borderId="12" xfId="0" applyFont="1" applyBorder="1" applyAlignment="1" applyProtection="1">
      <alignment horizontal="left"/>
    </xf>
    <xf numFmtId="164" fontId="4" fillId="0" borderId="11" xfId="0" applyNumberFormat="1" applyFont="1" applyBorder="1" applyProtection="1"/>
    <xf numFmtId="10" fontId="4" fillId="0" borderId="0" xfId="2" applyNumberFormat="1" applyFont="1" applyBorder="1" applyProtection="1"/>
    <xf numFmtId="0" fontId="4" fillId="0" borderId="5" xfId="0" applyFont="1" applyBorder="1" applyAlignment="1" applyProtection="1">
      <alignment horizontal="left"/>
    </xf>
    <xf numFmtId="10" fontId="4" fillId="0" borderId="6" xfId="2" applyNumberFormat="1" applyFont="1" applyBorder="1" applyProtection="1"/>
    <xf numFmtId="0" fontId="4" fillId="0" borderId="7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10" fontId="4" fillId="0" borderId="9" xfId="2" applyNumberFormat="1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0" fontId="4" fillId="0" borderId="15" xfId="2" applyNumberFormat="1" applyFont="1" applyBorder="1" applyProtection="1"/>
    <xf numFmtId="0" fontId="0" fillId="0" borderId="0" xfId="0" applyBorder="1" applyAlignment="1" applyProtection="1">
      <alignment horizontal="left"/>
    </xf>
    <xf numFmtId="43" fontId="0" fillId="0" borderId="0" xfId="0" applyNumberFormat="1" applyBorder="1" applyProtection="1"/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164" fontId="2" fillId="2" borderId="0" xfId="1" applyNumberFormat="1" applyFont="1" applyFill="1" applyBorder="1" applyAlignment="1" applyProtection="1">
      <alignment vertical="center"/>
    </xf>
    <xf numFmtId="164" fontId="2" fillId="2" borderId="6" xfId="1" applyNumberFormat="1" applyFont="1" applyFill="1" applyBorder="1" applyAlignment="1" applyProtection="1">
      <alignment vertical="center"/>
    </xf>
    <xf numFmtId="164" fontId="2" fillId="2" borderId="5" xfId="1" applyNumberFormat="1" applyFont="1" applyFill="1" applyBorder="1" applyAlignment="1" applyProtection="1">
      <alignment vertical="center"/>
    </xf>
    <xf numFmtId="164" fontId="2" fillId="2" borderId="5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164" fontId="2" fillId="2" borderId="6" xfId="1" applyNumberFormat="1" applyFont="1" applyFill="1" applyBorder="1" applyAlignment="1" applyProtection="1"/>
    <xf numFmtId="0" fontId="3" fillId="2" borderId="5" xfId="0" applyFont="1" applyFill="1" applyBorder="1" applyProtection="1"/>
    <xf numFmtId="166" fontId="3" fillId="2" borderId="0" xfId="0" applyNumberFormat="1" applyFont="1" applyFill="1" applyBorder="1" applyProtection="1"/>
    <xf numFmtId="164" fontId="3" fillId="2" borderId="0" xfId="1" applyNumberFormat="1" applyFont="1" applyFill="1" applyBorder="1" applyProtection="1"/>
    <xf numFmtId="164" fontId="3" fillId="2" borderId="6" xfId="1" applyNumberFormat="1" applyFont="1" applyFill="1" applyBorder="1" applyProtection="1"/>
    <xf numFmtId="165" fontId="3" fillId="2" borderId="5" xfId="1" applyNumberFormat="1" applyFont="1" applyFill="1" applyBorder="1" applyProtection="1"/>
    <xf numFmtId="166" fontId="3" fillId="2" borderId="5" xfId="1" applyNumberFormat="1" applyFont="1" applyFill="1" applyBorder="1" applyProtection="1"/>
    <xf numFmtId="0" fontId="5" fillId="2" borderId="5" xfId="0" applyFont="1" applyFill="1" applyBorder="1" applyProtection="1"/>
    <xf numFmtId="0" fontId="5" fillId="2" borderId="7" xfId="0" applyFont="1" applyFill="1" applyBorder="1" applyProtection="1"/>
    <xf numFmtId="164" fontId="3" fillId="2" borderId="8" xfId="1" applyNumberFormat="1" applyFont="1" applyFill="1" applyBorder="1" applyProtection="1"/>
    <xf numFmtId="164" fontId="3" fillId="2" borderId="9" xfId="1" applyNumberFormat="1" applyFont="1" applyFill="1" applyBorder="1" applyProtection="1"/>
    <xf numFmtId="166" fontId="3" fillId="2" borderId="7" xfId="1" applyNumberFormat="1" applyFont="1" applyFill="1" applyBorder="1" applyProtection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showGridLines="0" view="pageBreakPreview" zoomScale="80" zoomScaleSheetLayoutView="80" workbookViewId="0">
      <pane ySplit="2" topLeftCell="A4" activePane="bottomLeft" state="frozen"/>
      <selection pane="bottomLeft"/>
    </sheetView>
  </sheetViews>
  <sheetFormatPr defaultRowHeight="15"/>
  <cols>
    <col min="1" max="1" width="17.42578125" bestFit="1" customWidth="1"/>
    <col min="2" max="2" width="14.7109375" bestFit="1" customWidth="1"/>
  </cols>
  <sheetData>
    <row r="2" spans="1:2">
      <c r="A2" s="18" t="s">
        <v>56</v>
      </c>
    </row>
    <row r="4" spans="1:2">
      <c r="A4" t="s">
        <v>50</v>
      </c>
    </row>
    <row r="5" spans="1:2">
      <c r="A5" t="s">
        <v>51</v>
      </c>
    </row>
    <row r="6" spans="1:2">
      <c r="A6" t="s">
        <v>55</v>
      </c>
    </row>
    <row r="7" spans="1:2">
      <c r="A7" s="1" t="s">
        <v>11</v>
      </c>
      <c r="B7" s="1" t="s">
        <v>28</v>
      </c>
    </row>
    <row r="8" spans="1:2">
      <c r="A8" s="15">
        <v>41730</v>
      </c>
      <c r="B8" s="16">
        <f>21122971+740</f>
        <v>21123711</v>
      </c>
    </row>
    <row r="9" spans="1:2">
      <c r="A9" s="15">
        <v>41851</v>
      </c>
      <c r="B9" s="16">
        <v>27085727</v>
      </c>
    </row>
    <row r="10" spans="1:2">
      <c r="A10" s="15">
        <v>41882</v>
      </c>
      <c r="B10" s="16">
        <v>23180393</v>
      </c>
    </row>
    <row r="11" spans="1:2">
      <c r="A11" s="15">
        <v>41912</v>
      </c>
      <c r="B11" s="16">
        <v>28958100</v>
      </c>
    </row>
    <row r="12" spans="1:2">
      <c r="A12" s="15">
        <v>41943</v>
      </c>
      <c r="B12" s="16">
        <v>48300742</v>
      </c>
    </row>
    <row r="13" spans="1:2">
      <c r="A13" s="15">
        <v>41973</v>
      </c>
      <c r="B13" s="16">
        <v>46943071</v>
      </c>
    </row>
    <row r="14" spans="1:2">
      <c r="A14" s="15">
        <v>42004</v>
      </c>
      <c r="B14" s="16">
        <v>9230040</v>
      </c>
    </row>
    <row r="15" spans="1:2">
      <c r="A15" s="15">
        <v>42035</v>
      </c>
      <c r="B15" s="16">
        <v>22471068</v>
      </c>
    </row>
    <row r="16" spans="1:2">
      <c r="A16" s="15">
        <v>42094</v>
      </c>
      <c r="B16" s="16">
        <v>9715166</v>
      </c>
    </row>
    <row r="17" spans="1:2">
      <c r="A17" s="15">
        <v>42124</v>
      </c>
      <c r="B17" s="16">
        <v>1946982</v>
      </c>
    </row>
    <row r="18" spans="1:2">
      <c r="A18" s="15">
        <v>42155</v>
      </c>
      <c r="B18" s="16">
        <v>1045000</v>
      </c>
    </row>
    <row r="19" spans="1:2">
      <c r="A19" t="s">
        <v>52</v>
      </c>
    </row>
    <row r="20" spans="1:2">
      <c r="A20" s="1" t="s">
        <v>11</v>
      </c>
      <c r="B20" s="1" t="s">
        <v>28</v>
      </c>
    </row>
    <row r="21" spans="1:2">
      <c r="A21" s="17">
        <v>41851</v>
      </c>
      <c r="B21" s="2">
        <v>13333333</v>
      </c>
    </row>
    <row r="22" spans="1:2">
      <c r="A22" s="3">
        <v>41943</v>
      </c>
      <c r="B22" s="2">
        <v>13333333</v>
      </c>
    </row>
    <row r="23" spans="1:2">
      <c r="A23" s="3">
        <v>42035</v>
      </c>
      <c r="B23" s="2">
        <v>13333333</v>
      </c>
    </row>
    <row r="24" spans="1:2">
      <c r="A24" s="3">
        <v>42124</v>
      </c>
      <c r="B24" s="2">
        <v>13333333</v>
      </c>
    </row>
    <row r="25" spans="1:2">
      <c r="A25" s="3">
        <v>42216</v>
      </c>
      <c r="B25" s="2">
        <v>13333333</v>
      </c>
    </row>
    <row r="26" spans="1:2">
      <c r="A26" s="3">
        <v>42308</v>
      </c>
      <c r="B26" s="2">
        <v>13333333</v>
      </c>
    </row>
    <row r="27" spans="1:2">
      <c r="A27" s="3">
        <v>42400</v>
      </c>
      <c r="B27" s="2">
        <v>13333333</v>
      </c>
    </row>
    <row r="28" spans="1:2">
      <c r="A28" s="3">
        <v>42490</v>
      </c>
      <c r="B28" s="2">
        <v>13333333</v>
      </c>
    </row>
    <row r="29" spans="1:2">
      <c r="A29" s="3">
        <v>42582</v>
      </c>
      <c r="B29" s="2">
        <v>13333333</v>
      </c>
    </row>
    <row r="30" spans="1:2">
      <c r="A30" s="3">
        <v>42674</v>
      </c>
      <c r="B30" s="2">
        <v>13333333</v>
      </c>
    </row>
    <row r="31" spans="1:2">
      <c r="A31" s="3">
        <v>42766</v>
      </c>
      <c r="B31" s="2">
        <v>13333333</v>
      </c>
    </row>
    <row r="32" spans="1:2">
      <c r="A32" s="3">
        <v>42855</v>
      </c>
      <c r="B32" s="2">
        <v>13334625</v>
      </c>
    </row>
    <row r="33" spans="1:8">
      <c r="A33" s="3">
        <v>42947</v>
      </c>
      <c r="B33" s="2">
        <v>13333333</v>
      </c>
    </row>
    <row r="34" spans="1:8">
      <c r="A34" s="3">
        <v>43039</v>
      </c>
      <c r="B34" s="2">
        <v>13333333</v>
      </c>
    </row>
    <row r="35" spans="1:8">
      <c r="A35" s="3">
        <v>43131</v>
      </c>
      <c r="B35" s="2">
        <v>13333333</v>
      </c>
    </row>
    <row r="36" spans="1:8">
      <c r="A36" s="3">
        <v>43220</v>
      </c>
      <c r="B36" s="2">
        <v>13334625</v>
      </c>
    </row>
    <row r="37" spans="1:8">
      <c r="A37" s="3">
        <v>43312</v>
      </c>
      <c r="B37" s="2">
        <v>13333333</v>
      </c>
    </row>
    <row r="38" spans="1:8">
      <c r="A38" s="3">
        <v>43404</v>
      </c>
      <c r="B38" s="2">
        <v>13330755</v>
      </c>
    </row>
    <row r="39" spans="1:8" ht="30" customHeight="1">
      <c r="A39" s="19" t="s">
        <v>53</v>
      </c>
      <c r="B39" s="19"/>
      <c r="C39" s="19"/>
      <c r="D39" s="19"/>
      <c r="E39" s="19"/>
      <c r="F39" s="19"/>
      <c r="G39" s="19"/>
      <c r="H39" s="19"/>
    </row>
    <row r="40" spans="1:8">
      <c r="A40" s="3" t="s">
        <v>54</v>
      </c>
    </row>
  </sheetData>
  <mergeCells count="1">
    <mergeCell ref="A39:H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view="pageBreakPreview" topLeftCell="I1" zoomScaleSheetLayoutView="100" workbookViewId="0">
      <pane ySplit="10" topLeftCell="A11" activePane="bottomLeft" state="frozen"/>
      <selection pane="bottomLeft" activeCell="R12" sqref="R12"/>
    </sheetView>
  </sheetViews>
  <sheetFormatPr defaultRowHeight="15"/>
  <cols>
    <col min="1" max="1" width="9" style="20" customWidth="1"/>
    <col min="2" max="2" width="11.7109375" style="20" customWidth="1"/>
    <col min="3" max="3" width="15.7109375" style="20" customWidth="1"/>
    <col min="4" max="4" width="18" style="20" customWidth="1"/>
    <col min="5" max="5" width="17.7109375" style="20" customWidth="1"/>
    <col min="6" max="6" width="16.85546875" style="20" customWidth="1"/>
    <col min="7" max="7" width="15.85546875" style="20" customWidth="1"/>
    <col min="8" max="8" width="16.85546875" style="20" customWidth="1"/>
    <col min="9" max="9" width="13.140625" style="20" customWidth="1"/>
    <col min="10" max="10" width="17.140625" style="20" customWidth="1"/>
    <col min="11" max="11" width="12.7109375" style="20" customWidth="1"/>
    <col min="12" max="12" width="13.28515625" style="20" bestFit="1" customWidth="1"/>
    <col min="13" max="13" width="12.7109375" style="20" customWidth="1"/>
    <col min="14" max="14" width="18.85546875" style="20" customWidth="1"/>
    <col min="15" max="15" width="14.42578125" style="20" customWidth="1"/>
    <col min="16" max="16" width="17.28515625" style="20" customWidth="1"/>
    <col min="17" max="17" width="12.42578125" style="20" customWidth="1"/>
    <col min="18" max="18" width="14.28515625" style="20" customWidth="1"/>
    <col min="19" max="19" width="13.28515625" style="20" bestFit="1" customWidth="1"/>
    <col min="20" max="16384" width="9.140625" style="20"/>
  </cols>
  <sheetData>
    <row r="1" spans="1:19" ht="15.75" thickBot="1"/>
    <row r="2" spans="1:19">
      <c r="B2" s="21" t="s">
        <v>18</v>
      </c>
      <c r="C2" s="21"/>
      <c r="D2" s="22" t="s">
        <v>19</v>
      </c>
      <c r="H2" s="23" t="s">
        <v>22</v>
      </c>
      <c r="I2" s="24"/>
      <c r="J2" s="25">
        <f>SUM(J11:J66)</f>
        <v>9926078.9456469677</v>
      </c>
    </row>
    <row r="3" spans="1:19">
      <c r="B3" s="21" t="s">
        <v>20</v>
      </c>
      <c r="C3" s="21"/>
      <c r="D3" s="26">
        <v>0.11749999999999999</v>
      </c>
      <c r="H3" s="27" t="s">
        <v>23</v>
      </c>
      <c r="I3" s="21"/>
      <c r="J3" s="28">
        <f>IRR(H11:H66)</f>
        <v>1.0295719286695482E-2</v>
      </c>
    </row>
    <row r="4" spans="1:19" ht="15.75" thickBot="1">
      <c r="B4" s="21" t="s">
        <v>21</v>
      </c>
      <c r="C4" s="21"/>
      <c r="D4" s="26">
        <v>0.15</v>
      </c>
      <c r="H4" s="29" t="s">
        <v>24</v>
      </c>
      <c r="I4" s="30"/>
      <c r="J4" s="31">
        <f>J3*12</f>
        <v>0.12354863144034578</v>
      </c>
    </row>
    <row r="5" spans="1:19" ht="15.75" thickBot="1">
      <c r="B5" s="32"/>
      <c r="C5" s="32"/>
      <c r="D5" s="26"/>
      <c r="I5" s="22"/>
      <c r="J5" s="26"/>
    </row>
    <row r="6" spans="1:19" ht="15.75" thickBot="1">
      <c r="B6" s="32"/>
      <c r="C6" s="32"/>
      <c r="D6" s="26"/>
      <c r="H6" s="33" t="s">
        <v>29</v>
      </c>
      <c r="I6" s="34"/>
      <c r="J6" s="35">
        <v>0.15</v>
      </c>
    </row>
    <row r="7" spans="1:19">
      <c r="B7" s="36"/>
      <c r="C7" s="36"/>
      <c r="F7" s="37"/>
    </row>
    <row r="8" spans="1:19" ht="15.75" thickBot="1"/>
    <row r="9" spans="1:19">
      <c r="A9" s="38" t="s">
        <v>27</v>
      </c>
      <c r="B9" s="39"/>
      <c r="C9" s="39"/>
      <c r="D9" s="39"/>
      <c r="E9" s="39"/>
      <c r="F9" s="39"/>
      <c r="G9" s="39"/>
      <c r="H9" s="40"/>
      <c r="I9" s="38" t="s">
        <v>17</v>
      </c>
      <c r="J9" s="40"/>
      <c r="K9" s="38" t="s">
        <v>16</v>
      </c>
      <c r="L9" s="39"/>
      <c r="M9" s="39"/>
      <c r="N9" s="39"/>
      <c r="O9" s="39"/>
      <c r="P9" s="39"/>
      <c r="Q9" s="39"/>
      <c r="R9" s="39"/>
      <c r="S9" s="40"/>
    </row>
    <row r="10" spans="1:19">
      <c r="A10" s="41" t="s">
        <v>0</v>
      </c>
      <c r="B10" s="42" t="s">
        <v>1</v>
      </c>
      <c r="C10" s="43" t="s">
        <v>2</v>
      </c>
      <c r="D10" s="43" t="s">
        <v>3</v>
      </c>
      <c r="E10" s="43" t="s">
        <v>4</v>
      </c>
      <c r="F10" s="43" t="s">
        <v>5</v>
      </c>
      <c r="G10" s="43" t="s">
        <v>6</v>
      </c>
      <c r="H10" s="44" t="s">
        <v>7</v>
      </c>
      <c r="I10" s="45" t="s">
        <v>8</v>
      </c>
      <c r="J10" s="44" t="s">
        <v>9</v>
      </c>
      <c r="K10" s="46" t="s">
        <v>11</v>
      </c>
      <c r="L10" s="47" t="s">
        <v>10</v>
      </c>
      <c r="M10" s="47" t="s">
        <v>25</v>
      </c>
      <c r="N10" s="47" t="s">
        <v>26</v>
      </c>
      <c r="O10" s="47" t="s">
        <v>12</v>
      </c>
      <c r="P10" s="47" t="s">
        <v>13</v>
      </c>
      <c r="Q10" s="47" t="s">
        <v>14</v>
      </c>
      <c r="R10" s="47" t="s">
        <v>4</v>
      </c>
      <c r="S10" s="48" t="s">
        <v>15</v>
      </c>
    </row>
    <row r="11" spans="1:19">
      <c r="A11" s="49">
        <v>0</v>
      </c>
      <c r="B11" s="50">
        <v>41730</v>
      </c>
      <c r="C11" s="51">
        <f>21122971+740</f>
        <v>21123711</v>
      </c>
      <c r="D11" s="51">
        <v>2400000</v>
      </c>
      <c r="E11" s="51">
        <v>0</v>
      </c>
      <c r="F11" s="51">
        <v>0</v>
      </c>
      <c r="G11" s="51">
        <v>0</v>
      </c>
      <c r="H11" s="52">
        <f t="shared" ref="H11:H66" si="0">C11-SUM(D11:G11)</f>
        <v>18723711</v>
      </c>
      <c r="I11" s="53">
        <f>1/(1+$J$6/12)^A11</f>
        <v>1</v>
      </c>
      <c r="J11" s="52">
        <f t="shared" ref="J11:J66" si="1">H11*I11</f>
        <v>18723711</v>
      </c>
      <c r="K11" s="54">
        <f t="shared" ref="K11:K66" si="2">B11</f>
        <v>41730</v>
      </c>
      <c r="L11" s="51">
        <v>0</v>
      </c>
      <c r="M11" s="51">
        <f t="shared" ref="M11:M66" si="3">C11-D11</f>
        <v>18723711</v>
      </c>
      <c r="N11" s="51">
        <f>J2</f>
        <v>9926078.9456469677</v>
      </c>
      <c r="O11" s="51">
        <f t="shared" ref="O11:O66" si="4">L11*$D$4/12</f>
        <v>0</v>
      </c>
      <c r="P11" s="51">
        <f t="shared" ref="P11:P66" si="5">F11</f>
        <v>0</v>
      </c>
      <c r="Q11" s="51">
        <f t="shared" ref="Q11:Q66" si="6">O11-P11</f>
        <v>0</v>
      </c>
      <c r="R11" s="51">
        <f t="shared" ref="R11:R66" si="7">E11</f>
        <v>0</v>
      </c>
      <c r="S11" s="52">
        <f t="shared" ref="S11:S66" si="8">L11+M11-N11+Q11-R11</f>
        <v>8797632.0543530323</v>
      </c>
    </row>
    <row r="12" spans="1:19">
      <c r="A12" s="49">
        <f t="shared" ref="A12:A41" si="9">A11+1</f>
        <v>1</v>
      </c>
      <c r="B12" s="50">
        <f>B11+29</f>
        <v>41759</v>
      </c>
      <c r="C12" s="51">
        <v>0</v>
      </c>
      <c r="D12" s="51">
        <v>0</v>
      </c>
      <c r="E12" s="51">
        <v>0</v>
      </c>
      <c r="F12" s="51">
        <f>(SUM($C$11:C11)-SUM($E$11:E11))*$D$3/12</f>
        <v>206836.33687500001</v>
      </c>
      <c r="G12" s="51">
        <v>0</v>
      </c>
      <c r="H12" s="52">
        <f t="shared" si="0"/>
        <v>-206836.33687500001</v>
      </c>
      <c r="I12" s="53">
        <f t="shared" ref="I12:I66" si="10">1/(1+$J$6/12)^A12</f>
        <v>0.98765432098765438</v>
      </c>
      <c r="J12" s="52">
        <f t="shared" si="1"/>
        <v>-204282.80185185187</v>
      </c>
      <c r="K12" s="54">
        <f t="shared" si="2"/>
        <v>41759</v>
      </c>
      <c r="L12" s="51">
        <f t="shared" ref="L12:L66" si="11">S11</f>
        <v>8797632.0543530323</v>
      </c>
      <c r="M12" s="51">
        <f t="shared" si="3"/>
        <v>0</v>
      </c>
      <c r="N12" s="51">
        <v>0</v>
      </c>
      <c r="O12" s="51">
        <f t="shared" si="4"/>
        <v>109970.40067941289</v>
      </c>
      <c r="P12" s="51">
        <f t="shared" si="5"/>
        <v>206836.33687500001</v>
      </c>
      <c r="Q12" s="51">
        <f t="shared" si="6"/>
        <v>-96865.936195587114</v>
      </c>
      <c r="R12" s="51">
        <f t="shared" si="7"/>
        <v>0</v>
      </c>
      <c r="S12" s="52">
        <f t="shared" si="8"/>
        <v>8700766.1181574445</v>
      </c>
    </row>
    <row r="13" spans="1:19">
      <c r="A13" s="49">
        <f t="shared" si="9"/>
        <v>2</v>
      </c>
      <c r="B13" s="50">
        <f>B12+31</f>
        <v>41790</v>
      </c>
      <c r="C13" s="51">
        <v>27085727</v>
      </c>
      <c r="D13" s="51">
        <v>0</v>
      </c>
      <c r="E13" s="51">
        <v>0</v>
      </c>
      <c r="F13" s="51">
        <f>(SUM($C$11:C12)-SUM($E$11:E12))*$D$3/12</f>
        <v>206836.33687500001</v>
      </c>
      <c r="G13" s="51">
        <v>0</v>
      </c>
      <c r="H13" s="52">
        <f t="shared" si="0"/>
        <v>26878890.663125001</v>
      </c>
      <c r="I13" s="53">
        <f t="shared" si="10"/>
        <v>0.97546105776558456</v>
      </c>
      <c r="J13" s="52">
        <f t="shared" si="1"/>
        <v>26219311.117817409</v>
      </c>
      <c r="K13" s="54">
        <f t="shared" si="2"/>
        <v>41790</v>
      </c>
      <c r="L13" s="51">
        <f t="shared" si="11"/>
        <v>8700766.1181574445</v>
      </c>
      <c r="M13" s="51">
        <f t="shared" si="3"/>
        <v>27085727</v>
      </c>
      <c r="N13" s="51">
        <v>0</v>
      </c>
      <c r="O13" s="51">
        <f t="shared" si="4"/>
        <v>108759.57647696805</v>
      </c>
      <c r="P13" s="51">
        <f t="shared" si="5"/>
        <v>206836.33687500001</v>
      </c>
      <c r="Q13" s="51">
        <f t="shared" si="6"/>
        <v>-98076.760398031955</v>
      </c>
      <c r="R13" s="51">
        <f t="shared" si="7"/>
        <v>0</v>
      </c>
      <c r="S13" s="52">
        <f t="shared" si="8"/>
        <v>35688416.357759416</v>
      </c>
    </row>
    <row r="14" spans="1:19">
      <c r="A14" s="49">
        <f t="shared" si="9"/>
        <v>3</v>
      </c>
      <c r="B14" s="50">
        <f>B13+30</f>
        <v>41820</v>
      </c>
      <c r="C14" s="51">
        <v>23180393</v>
      </c>
      <c r="D14" s="51">
        <v>0</v>
      </c>
      <c r="E14" s="51">
        <v>0</v>
      </c>
      <c r="F14" s="51">
        <f>(SUM($C$11:C13)-SUM($E$11:E13))*$D$3/12</f>
        <v>472050.74708333332</v>
      </c>
      <c r="G14" s="51">
        <v>0</v>
      </c>
      <c r="H14" s="52">
        <f t="shared" si="0"/>
        <v>22708342.252916668</v>
      </c>
      <c r="I14" s="53">
        <f t="shared" si="10"/>
        <v>0.96341832865736754</v>
      </c>
      <c r="J14" s="52">
        <f t="shared" si="1"/>
        <v>21877633.139884457</v>
      </c>
      <c r="K14" s="54">
        <f t="shared" si="2"/>
        <v>41820</v>
      </c>
      <c r="L14" s="51">
        <f t="shared" si="11"/>
        <v>35688416.357759416</v>
      </c>
      <c r="M14" s="51">
        <f t="shared" si="3"/>
        <v>23180393</v>
      </c>
      <c r="N14" s="51">
        <v>0</v>
      </c>
      <c r="O14" s="51">
        <f t="shared" si="4"/>
        <v>446105.20447199274</v>
      </c>
      <c r="P14" s="51">
        <f t="shared" si="5"/>
        <v>472050.74708333332</v>
      </c>
      <c r="Q14" s="51">
        <f t="shared" si="6"/>
        <v>-25945.542611340585</v>
      </c>
      <c r="R14" s="51">
        <f>E14</f>
        <v>0</v>
      </c>
      <c r="S14" s="52">
        <f t="shared" si="8"/>
        <v>58842863.815148078</v>
      </c>
    </row>
    <row r="15" spans="1:19">
      <c r="A15" s="49">
        <f t="shared" si="9"/>
        <v>4</v>
      </c>
      <c r="B15" s="50">
        <f>B14+31</f>
        <v>41851</v>
      </c>
      <c r="C15" s="51">
        <v>28958100</v>
      </c>
      <c r="D15" s="51">
        <v>0</v>
      </c>
      <c r="E15" s="51">
        <v>13333333</v>
      </c>
      <c r="F15" s="51">
        <f>(SUM($C$11:C14)-SUM($E$11:E14))*$D$3/12</f>
        <v>699025.4285416666</v>
      </c>
      <c r="G15" s="51">
        <v>0</v>
      </c>
      <c r="H15" s="52">
        <f t="shared" si="0"/>
        <v>14925741.571458334</v>
      </c>
      <c r="I15" s="53">
        <f t="shared" si="10"/>
        <v>0.9515242752171531</v>
      </c>
      <c r="J15" s="52">
        <f t="shared" si="1"/>
        <v>14202205.430860423</v>
      </c>
      <c r="K15" s="54">
        <f t="shared" si="2"/>
        <v>41851</v>
      </c>
      <c r="L15" s="51">
        <f t="shared" si="11"/>
        <v>58842863.815148078</v>
      </c>
      <c r="M15" s="51">
        <f t="shared" si="3"/>
        <v>28958100</v>
      </c>
      <c r="N15" s="51">
        <v>0</v>
      </c>
      <c r="O15" s="51">
        <f t="shared" si="4"/>
        <v>735535.7976893509</v>
      </c>
      <c r="P15" s="51">
        <f t="shared" si="5"/>
        <v>699025.4285416666</v>
      </c>
      <c r="Q15" s="51">
        <f t="shared" si="6"/>
        <v>36510.369147684309</v>
      </c>
      <c r="R15" s="51">
        <f>E15</f>
        <v>13333333</v>
      </c>
      <c r="S15" s="52">
        <f t="shared" si="8"/>
        <v>74504141.184295774</v>
      </c>
    </row>
    <row r="16" spans="1:19">
      <c r="A16" s="49">
        <f t="shared" si="9"/>
        <v>5</v>
      </c>
      <c r="B16" s="50">
        <f>B15+31</f>
        <v>41882</v>
      </c>
      <c r="C16" s="51">
        <v>48300742</v>
      </c>
      <c r="D16" s="51">
        <v>0</v>
      </c>
      <c r="E16" s="51">
        <v>0</v>
      </c>
      <c r="F16" s="51">
        <f>(SUM($C$11:C15)-SUM($E$11:E15))*$D$3/12</f>
        <v>852017.93874999986</v>
      </c>
      <c r="G16" s="51">
        <v>0</v>
      </c>
      <c r="H16" s="52">
        <f t="shared" si="0"/>
        <v>47448724.061250001</v>
      </c>
      <c r="I16" s="53">
        <f t="shared" si="10"/>
        <v>0.93977706194286736</v>
      </c>
      <c r="J16" s="52">
        <f t="shared" si="1"/>
        <v>44591222.491219364</v>
      </c>
      <c r="K16" s="54">
        <f t="shared" si="2"/>
        <v>41882</v>
      </c>
      <c r="L16" s="51">
        <f t="shared" si="11"/>
        <v>74504141.184295774</v>
      </c>
      <c r="M16" s="51">
        <f t="shared" si="3"/>
        <v>48300742</v>
      </c>
      <c r="N16" s="51">
        <v>0</v>
      </c>
      <c r="O16" s="51">
        <f t="shared" si="4"/>
        <v>931301.76480369724</v>
      </c>
      <c r="P16" s="51">
        <f t="shared" si="5"/>
        <v>852017.93874999986</v>
      </c>
      <c r="Q16" s="51">
        <f t="shared" si="6"/>
        <v>79283.826053697383</v>
      </c>
      <c r="R16" s="51">
        <f t="shared" si="7"/>
        <v>0</v>
      </c>
      <c r="S16" s="52">
        <f t="shared" si="8"/>
        <v>122884167.01034947</v>
      </c>
    </row>
    <row r="17" spans="1:19">
      <c r="A17" s="49">
        <f t="shared" si="9"/>
        <v>6</v>
      </c>
      <c r="B17" s="50">
        <f>B16+30</f>
        <v>41912</v>
      </c>
      <c r="C17" s="51">
        <v>46943071</v>
      </c>
      <c r="D17" s="51">
        <v>0</v>
      </c>
      <c r="E17" s="51">
        <v>0</v>
      </c>
      <c r="F17" s="51">
        <f>(SUM($C$11:C16)-SUM($E$11:E16))*$D$3/12</f>
        <v>1324962.7041666666</v>
      </c>
      <c r="G17" s="51">
        <v>0</v>
      </c>
      <c r="H17" s="52">
        <f t="shared" si="0"/>
        <v>45618108.295833334</v>
      </c>
      <c r="I17" s="53">
        <f t="shared" si="10"/>
        <v>0.92817487599295534</v>
      </c>
      <c r="J17" s="52">
        <f t="shared" si="1"/>
        <v>42341582.010518312</v>
      </c>
      <c r="K17" s="54">
        <f t="shared" si="2"/>
        <v>41912</v>
      </c>
      <c r="L17" s="51">
        <f t="shared" si="11"/>
        <v>122884167.01034947</v>
      </c>
      <c r="M17" s="51">
        <f t="shared" si="3"/>
        <v>46943071</v>
      </c>
      <c r="N17" s="51">
        <v>0</v>
      </c>
      <c r="O17" s="51">
        <f t="shared" si="4"/>
        <v>1536052.0876293683</v>
      </c>
      <c r="P17" s="51">
        <f t="shared" si="5"/>
        <v>1324962.7041666666</v>
      </c>
      <c r="Q17" s="51">
        <f t="shared" si="6"/>
        <v>211089.38346270169</v>
      </c>
      <c r="R17" s="51">
        <f t="shared" si="7"/>
        <v>0</v>
      </c>
      <c r="S17" s="52">
        <f t="shared" si="8"/>
        <v>170038327.39381215</v>
      </c>
    </row>
    <row r="18" spans="1:19">
      <c r="A18" s="49">
        <f t="shared" si="9"/>
        <v>7</v>
      </c>
      <c r="B18" s="50">
        <f>B17+31</f>
        <v>41943</v>
      </c>
      <c r="C18" s="51">
        <v>9230040</v>
      </c>
      <c r="D18" s="51">
        <v>0</v>
      </c>
      <c r="E18" s="51">
        <v>13333333</v>
      </c>
      <c r="F18" s="51">
        <f>(SUM($C$11:C17)-SUM($E$11:E17))*$D$3/12</f>
        <v>1784613.6077083333</v>
      </c>
      <c r="G18" s="51">
        <v>0</v>
      </c>
      <c r="H18" s="52">
        <f t="shared" si="0"/>
        <v>-5887906.6077083331</v>
      </c>
      <c r="I18" s="53">
        <f t="shared" si="10"/>
        <v>0.91671592690662274</v>
      </c>
      <c r="J18" s="52">
        <f t="shared" si="1"/>
        <v>-5397537.763424973</v>
      </c>
      <c r="K18" s="54">
        <f t="shared" si="2"/>
        <v>41943</v>
      </c>
      <c r="L18" s="51">
        <f t="shared" si="11"/>
        <v>170038327.39381215</v>
      </c>
      <c r="M18" s="51">
        <f t="shared" si="3"/>
        <v>9230040</v>
      </c>
      <c r="N18" s="51">
        <v>0</v>
      </c>
      <c r="O18" s="51">
        <f t="shared" si="4"/>
        <v>2125479.0924226516</v>
      </c>
      <c r="P18" s="51">
        <f t="shared" si="5"/>
        <v>1784613.6077083333</v>
      </c>
      <c r="Q18" s="51">
        <f t="shared" si="6"/>
        <v>340865.4847143183</v>
      </c>
      <c r="R18" s="51">
        <f t="shared" si="7"/>
        <v>13333333</v>
      </c>
      <c r="S18" s="52">
        <f t="shared" si="8"/>
        <v>166275899.87852648</v>
      </c>
    </row>
    <row r="19" spans="1:19">
      <c r="A19" s="49">
        <f t="shared" si="9"/>
        <v>8</v>
      </c>
      <c r="B19" s="50">
        <f>B18+30</f>
        <v>41973</v>
      </c>
      <c r="C19" s="51">
        <v>22471068</v>
      </c>
      <c r="D19" s="51">
        <v>0</v>
      </c>
      <c r="E19" s="51">
        <v>0</v>
      </c>
      <c r="F19" s="51">
        <f>(SUM($C$11:C18)-SUM($E$11:E18))*$D$3/12</f>
        <v>1744435.5304166665</v>
      </c>
      <c r="G19" s="51">
        <v>0</v>
      </c>
      <c r="H19" s="52">
        <f t="shared" si="0"/>
        <v>20726632.469583333</v>
      </c>
      <c r="I19" s="53">
        <f t="shared" si="10"/>
        <v>0.90539844632752842</v>
      </c>
      <c r="J19" s="52">
        <f t="shared" si="1"/>
        <v>18765860.835562453</v>
      </c>
      <c r="K19" s="54">
        <f t="shared" si="2"/>
        <v>41973</v>
      </c>
      <c r="L19" s="51">
        <f t="shared" si="11"/>
        <v>166275899.87852648</v>
      </c>
      <c r="M19" s="51">
        <f t="shared" si="3"/>
        <v>22471068</v>
      </c>
      <c r="N19" s="51">
        <v>0</v>
      </c>
      <c r="O19" s="51">
        <f t="shared" si="4"/>
        <v>2078448.748481581</v>
      </c>
      <c r="P19" s="51">
        <f t="shared" si="5"/>
        <v>1744435.5304166665</v>
      </c>
      <c r="Q19" s="51">
        <f t="shared" si="6"/>
        <v>334013.21806491446</v>
      </c>
      <c r="R19" s="51">
        <f t="shared" si="7"/>
        <v>0</v>
      </c>
      <c r="S19" s="52">
        <f t="shared" si="8"/>
        <v>189080981.09659138</v>
      </c>
    </row>
    <row r="20" spans="1:19">
      <c r="A20" s="49">
        <f t="shared" si="9"/>
        <v>9</v>
      </c>
      <c r="B20" s="50">
        <f>B19+31</f>
        <v>42004</v>
      </c>
      <c r="C20" s="51">
        <v>0</v>
      </c>
      <c r="D20" s="51">
        <v>0</v>
      </c>
      <c r="E20" s="51">
        <v>0</v>
      </c>
      <c r="F20" s="51">
        <f>(SUM($C$11:C19)-SUM($E$11:E19))*$D$3/12</f>
        <v>1964464.7379166668</v>
      </c>
      <c r="G20" s="51">
        <v>0</v>
      </c>
      <c r="H20" s="52">
        <f t="shared" si="0"/>
        <v>-1964464.7379166668</v>
      </c>
      <c r="I20" s="53">
        <f t="shared" si="10"/>
        <v>0.89422068773089236</v>
      </c>
      <c r="J20" s="52">
        <f t="shared" si="1"/>
        <v>-1756665.008962929</v>
      </c>
      <c r="K20" s="54">
        <f t="shared" si="2"/>
        <v>42004</v>
      </c>
      <c r="L20" s="51">
        <f t="shared" si="11"/>
        <v>189080981.09659138</v>
      </c>
      <c r="M20" s="51">
        <f t="shared" si="3"/>
        <v>0</v>
      </c>
      <c r="N20" s="51">
        <v>0</v>
      </c>
      <c r="O20" s="51">
        <f t="shared" si="4"/>
        <v>2363512.2637073924</v>
      </c>
      <c r="P20" s="51">
        <f t="shared" si="5"/>
        <v>1964464.7379166668</v>
      </c>
      <c r="Q20" s="51">
        <f t="shared" si="6"/>
        <v>399047.5257907256</v>
      </c>
      <c r="R20" s="51">
        <f t="shared" si="7"/>
        <v>0</v>
      </c>
      <c r="S20" s="52">
        <f t="shared" si="8"/>
        <v>189480028.6223821</v>
      </c>
    </row>
    <row r="21" spans="1:19">
      <c r="A21" s="49">
        <f t="shared" si="9"/>
        <v>10</v>
      </c>
      <c r="B21" s="50">
        <f>B20+31</f>
        <v>42035</v>
      </c>
      <c r="C21" s="51">
        <v>9715166</v>
      </c>
      <c r="D21" s="51">
        <v>0</v>
      </c>
      <c r="E21" s="51">
        <v>13333333</v>
      </c>
      <c r="F21" s="51">
        <f>(SUM($C$11:C20)-SUM($E$11:E20))*$D$3/12</f>
        <v>1964464.7379166668</v>
      </c>
      <c r="G21" s="51">
        <v>0</v>
      </c>
      <c r="H21" s="52">
        <f t="shared" si="0"/>
        <v>-5582631.737916667</v>
      </c>
      <c r="I21" s="53">
        <f t="shared" si="10"/>
        <v>0.88318092615396759</v>
      </c>
      <c r="J21" s="52">
        <f t="shared" si="1"/>
        <v>-4930473.8686697753</v>
      </c>
      <c r="K21" s="54">
        <f t="shared" si="2"/>
        <v>42035</v>
      </c>
      <c r="L21" s="51">
        <f t="shared" si="11"/>
        <v>189480028.6223821</v>
      </c>
      <c r="M21" s="51">
        <f t="shared" si="3"/>
        <v>9715166</v>
      </c>
      <c r="N21" s="51">
        <v>0</v>
      </c>
      <c r="O21" s="51">
        <f t="shared" si="4"/>
        <v>2368500.3577797762</v>
      </c>
      <c r="P21" s="51">
        <f t="shared" si="5"/>
        <v>1964464.7379166668</v>
      </c>
      <c r="Q21" s="51">
        <f t="shared" si="6"/>
        <v>404035.61986310943</v>
      </c>
      <c r="R21" s="51">
        <f t="shared" si="7"/>
        <v>13333333</v>
      </c>
      <c r="S21" s="52">
        <f t="shared" si="8"/>
        <v>186265897.24224523</v>
      </c>
    </row>
    <row r="22" spans="1:19">
      <c r="A22" s="49">
        <f t="shared" si="9"/>
        <v>11</v>
      </c>
      <c r="B22" s="50">
        <f>B21+28</f>
        <v>42063</v>
      </c>
      <c r="C22" s="51">
        <v>1946982</v>
      </c>
      <c r="D22" s="51">
        <v>0</v>
      </c>
      <c r="E22" s="51">
        <v>0</v>
      </c>
      <c r="F22" s="51">
        <f>(SUM($C$11:C21)-SUM($E$11:E21))*$D$3/12</f>
        <v>1929036.8527083332</v>
      </c>
      <c r="G22" s="51">
        <v>0</v>
      </c>
      <c r="H22" s="52">
        <f t="shared" si="0"/>
        <v>17945.147291666828</v>
      </c>
      <c r="I22" s="53">
        <f t="shared" si="10"/>
        <v>0.87227745792984479</v>
      </c>
      <c r="J22" s="52">
        <f t="shared" si="1"/>
        <v>15653.14746175178</v>
      </c>
      <c r="K22" s="54">
        <f t="shared" si="2"/>
        <v>42063</v>
      </c>
      <c r="L22" s="51">
        <f t="shared" si="11"/>
        <v>186265897.24224523</v>
      </c>
      <c r="M22" s="51">
        <f t="shared" si="3"/>
        <v>1946982</v>
      </c>
      <c r="N22" s="51">
        <v>0</v>
      </c>
      <c r="O22" s="51">
        <f t="shared" si="4"/>
        <v>2328323.7155280653</v>
      </c>
      <c r="P22" s="51">
        <f t="shared" si="5"/>
        <v>1929036.8527083332</v>
      </c>
      <c r="Q22" s="51">
        <f t="shared" si="6"/>
        <v>399286.86281973217</v>
      </c>
      <c r="R22" s="51">
        <f t="shared" si="7"/>
        <v>0</v>
      </c>
      <c r="S22" s="52">
        <f t="shared" si="8"/>
        <v>188612166.10506496</v>
      </c>
    </row>
    <row r="23" spans="1:19">
      <c r="A23" s="49">
        <f t="shared" si="9"/>
        <v>12</v>
      </c>
      <c r="B23" s="50">
        <f>B22+31</f>
        <v>42094</v>
      </c>
      <c r="C23" s="51">
        <v>1045000</v>
      </c>
      <c r="D23" s="51">
        <v>0</v>
      </c>
      <c r="E23" s="51">
        <v>0</v>
      </c>
      <c r="F23" s="51">
        <f>(SUM($C$11:C22)-SUM($E$11:E22))*$D$3/12</f>
        <v>1948101.0514583334</v>
      </c>
      <c r="G23" s="51">
        <v>0</v>
      </c>
      <c r="H23" s="52">
        <f t="shared" si="0"/>
        <v>-903101.05145833339</v>
      </c>
      <c r="I23" s="53">
        <f t="shared" si="10"/>
        <v>0.86150860042453792</v>
      </c>
      <c r="J23" s="52">
        <f t="shared" si="1"/>
        <v>-778029.32288379734</v>
      </c>
      <c r="K23" s="54">
        <f t="shared" si="2"/>
        <v>42094</v>
      </c>
      <c r="L23" s="51">
        <f t="shared" si="11"/>
        <v>188612166.10506496</v>
      </c>
      <c r="M23" s="51">
        <f t="shared" si="3"/>
        <v>1045000</v>
      </c>
      <c r="N23" s="51">
        <v>0</v>
      </c>
      <c r="O23" s="51">
        <f t="shared" si="4"/>
        <v>2357652.0763133117</v>
      </c>
      <c r="P23" s="51">
        <f t="shared" si="5"/>
        <v>1948101.0514583334</v>
      </c>
      <c r="Q23" s="51">
        <f t="shared" si="6"/>
        <v>409551.02485497831</v>
      </c>
      <c r="R23" s="51">
        <f t="shared" si="7"/>
        <v>0</v>
      </c>
      <c r="S23" s="52">
        <f t="shared" si="8"/>
        <v>190066717.12991995</v>
      </c>
    </row>
    <row r="24" spans="1:19">
      <c r="A24" s="49">
        <f t="shared" si="9"/>
        <v>13</v>
      </c>
      <c r="B24" s="50">
        <f>B23+30</f>
        <v>42124</v>
      </c>
      <c r="C24" s="51">
        <v>0</v>
      </c>
      <c r="D24" s="51">
        <v>0</v>
      </c>
      <c r="E24" s="51">
        <v>13333333</v>
      </c>
      <c r="F24" s="51">
        <f>(SUM($C$11:C23)-SUM($E$11:E23))*$D$3/12</f>
        <v>1958333.3431249999</v>
      </c>
      <c r="G24" s="51">
        <v>0</v>
      </c>
      <c r="H24" s="52">
        <f t="shared" si="0"/>
        <v>-15291666.343125001</v>
      </c>
      <c r="I24" s="53">
        <f t="shared" si="10"/>
        <v>0.85087269177732161</v>
      </c>
      <c r="J24" s="52">
        <f t="shared" si="1"/>
        <v>-13011261.303135442</v>
      </c>
      <c r="K24" s="54">
        <f t="shared" si="2"/>
        <v>42124</v>
      </c>
      <c r="L24" s="51">
        <f t="shared" si="11"/>
        <v>190066717.12991995</v>
      </c>
      <c r="M24" s="51">
        <f t="shared" si="3"/>
        <v>0</v>
      </c>
      <c r="N24" s="51">
        <v>0</v>
      </c>
      <c r="O24" s="51">
        <f t="shared" si="4"/>
        <v>2375833.9641239992</v>
      </c>
      <c r="P24" s="51">
        <f t="shared" si="5"/>
        <v>1958333.3431249999</v>
      </c>
      <c r="Q24" s="51">
        <f t="shared" si="6"/>
        <v>417500.62099899934</v>
      </c>
      <c r="R24" s="51">
        <f t="shared" si="7"/>
        <v>13333333</v>
      </c>
      <c r="S24" s="52">
        <f t="shared" si="8"/>
        <v>177150884.75091895</v>
      </c>
    </row>
    <row r="25" spans="1:19">
      <c r="A25" s="49">
        <f t="shared" si="9"/>
        <v>14</v>
      </c>
      <c r="B25" s="50">
        <f>B24+31</f>
        <v>42155</v>
      </c>
      <c r="C25" s="51">
        <v>0</v>
      </c>
      <c r="D25" s="51">
        <v>0</v>
      </c>
      <c r="E25" s="51">
        <v>0</v>
      </c>
      <c r="F25" s="51">
        <f>(SUM($C$11:C24)-SUM($E$11:E24))*$D$3/12</f>
        <v>1827777.7908333333</v>
      </c>
      <c r="G25" s="51">
        <v>0</v>
      </c>
      <c r="H25" s="52">
        <f t="shared" si="0"/>
        <v>-1827777.7908333333</v>
      </c>
      <c r="I25" s="53">
        <f t="shared" si="10"/>
        <v>0.8403680906442681</v>
      </c>
      <c r="J25" s="52">
        <f t="shared" si="1"/>
        <v>-1536006.1322046067</v>
      </c>
      <c r="K25" s="54">
        <f t="shared" si="2"/>
        <v>42155</v>
      </c>
      <c r="L25" s="51">
        <f t="shared" si="11"/>
        <v>177150884.75091895</v>
      </c>
      <c r="M25" s="51">
        <f t="shared" si="3"/>
        <v>0</v>
      </c>
      <c r="N25" s="51">
        <v>0</v>
      </c>
      <c r="O25" s="51">
        <f t="shared" si="4"/>
        <v>2214386.0593864867</v>
      </c>
      <c r="P25" s="51">
        <f t="shared" si="5"/>
        <v>1827777.7908333333</v>
      </c>
      <c r="Q25" s="51">
        <f t="shared" si="6"/>
        <v>386608.26855315338</v>
      </c>
      <c r="R25" s="51">
        <f t="shared" si="7"/>
        <v>0</v>
      </c>
      <c r="S25" s="52">
        <f t="shared" si="8"/>
        <v>177537493.01947212</v>
      </c>
    </row>
    <row r="26" spans="1:19">
      <c r="A26" s="49">
        <f t="shared" si="9"/>
        <v>15</v>
      </c>
      <c r="B26" s="50">
        <f>B25+30</f>
        <v>42185</v>
      </c>
      <c r="C26" s="51">
        <v>0</v>
      </c>
      <c r="D26" s="51">
        <v>0</v>
      </c>
      <c r="E26" s="51">
        <v>0</v>
      </c>
      <c r="F26" s="51">
        <f>(SUM($C$11:C25)-SUM($E$11:E25))*$D$3/12</f>
        <v>1827777.7908333333</v>
      </c>
      <c r="G26" s="51">
        <v>0</v>
      </c>
      <c r="H26" s="52">
        <f t="shared" si="0"/>
        <v>-1827777.7908333333</v>
      </c>
      <c r="I26" s="53">
        <f t="shared" si="10"/>
        <v>0.82999317594495636</v>
      </c>
      <c r="J26" s="52">
        <f t="shared" si="1"/>
        <v>-1517043.0935354144</v>
      </c>
      <c r="K26" s="54">
        <f t="shared" si="2"/>
        <v>42185</v>
      </c>
      <c r="L26" s="51">
        <f t="shared" si="11"/>
        <v>177537493.01947212</v>
      </c>
      <c r="M26" s="51">
        <f t="shared" si="3"/>
        <v>0</v>
      </c>
      <c r="N26" s="51">
        <v>0</v>
      </c>
      <c r="O26" s="51">
        <f t="shared" si="4"/>
        <v>2219218.6627434012</v>
      </c>
      <c r="P26" s="51">
        <f t="shared" si="5"/>
        <v>1827777.7908333333</v>
      </c>
      <c r="Q26" s="51">
        <f t="shared" si="6"/>
        <v>391440.87191006797</v>
      </c>
      <c r="R26" s="51">
        <f t="shared" si="7"/>
        <v>0</v>
      </c>
      <c r="S26" s="52">
        <f t="shared" si="8"/>
        <v>177928933.89138219</v>
      </c>
    </row>
    <row r="27" spans="1:19">
      <c r="A27" s="49">
        <f t="shared" si="9"/>
        <v>16</v>
      </c>
      <c r="B27" s="50">
        <f>B26+31</f>
        <v>42216</v>
      </c>
      <c r="C27" s="51">
        <v>0</v>
      </c>
      <c r="D27" s="51">
        <v>0</v>
      </c>
      <c r="E27" s="51">
        <v>13333333</v>
      </c>
      <c r="F27" s="51">
        <f>(SUM($C$11:C26)-SUM($E$11:E26))*$D$3/12</f>
        <v>1827777.7908333333</v>
      </c>
      <c r="G27" s="51">
        <v>0</v>
      </c>
      <c r="H27" s="52">
        <f t="shared" si="0"/>
        <v>-15161110.790833334</v>
      </c>
      <c r="I27" s="53">
        <f t="shared" si="10"/>
        <v>0.81974634661230239</v>
      </c>
      <c r="J27" s="52">
        <f t="shared" si="1"/>
        <v>-12428265.181369979</v>
      </c>
      <c r="K27" s="54">
        <f t="shared" si="2"/>
        <v>42216</v>
      </c>
      <c r="L27" s="51">
        <f t="shared" si="11"/>
        <v>177928933.89138219</v>
      </c>
      <c r="M27" s="51">
        <f t="shared" si="3"/>
        <v>0</v>
      </c>
      <c r="N27" s="51">
        <v>0</v>
      </c>
      <c r="O27" s="51">
        <f t="shared" si="4"/>
        <v>2224111.6736422773</v>
      </c>
      <c r="P27" s="51">
        <f t="shared" si="5"/>
        <v>1827777.7908333333</v>
      </c>
      <c r="Q27" s="51">
        <f t="shared" si="6"/>
        <v>396333.88280894398</v>
      </c>
      <c r="R27" s="51">
        <f t="shared" si="7"/>
        <v>13333333</v>
      </c>
      <c r="S27" s="52">
        <f t="shared" si="8"/>
        <v>164991934.77419114</v>
      </c>
    </row>
    <row r="28" spans="1:19">
      <c r="A28" s="49">
        <f t="shared" si="9"/>
        <v>17</v>
      </c>
      <c r="B28" s="50">
        <f>B27+31</f>
        <v>42247</v>
      </c>
      <c r="C28" s="51">
        <v>0</v>
      </c>
      <c r="D28" s="51">
        <v>0</v>
      </c>
      <c r="E28" s="51">
        <v>0</v>
      </c>
      <c r="F28" s="51">
        <f>(SUM($C$11:C27)-SUM($E$11:E27))*$D$3/12</f>
        <v>1697222.2385416664</v>
      </c>
      <c r="G28" s="51">
        <v>0</v>
      </c>
      <c r="H28" s="52">
        <f t="shared" si="0"/>
        <v>-1697222.2385416664</v>
      </c>
      <c r="I28" s="53">
        <f t="shared" si="10"/>
        <v>0.80962602134548389</v>
      </c>
      <c r="J28" s="52">
        <f t="shared" si="1"/>
        <v>-1374115.2883295652</v>
      </c>
      <c r="K28" s="54">
        <f t="shared" si="2"/>
        <v>42247</v>
      </c>
      <c r="L28" s="51">
        <f t="shared" si="11"/>
        <v>164991934.77419114</v>
      </c>
      <c r="M28" s="51">
        <f t="shared" si="3"/>
        <v>0</v>
      </c>
      <c r="N28" s="51">
        <v>0</v>
      </c>
      <c r="O28" s="51">
        <f t="shared" si="4"/>
        <v>2062399.1846773892</v>
      </c>
      <c r="P28" s="51">
        <f t="shared" si="5"/>
        <v>1697222.2385416664</v>
      </c>
      <c r="Q28" s="51">
        <f t="shared" si="6"/>
        <v>365176.9461357228</v>
      </c>
      <c r="R28" s="51">
        <f t="shared" si="7"/>
        <v>0</v>
      </c>
      <c r="S28" s="52">
        <f t="shared" si="8"/>
        <v>165357111.72032687</v>
      </c>
    </row>
    <row r="29" spans="1:19">
      <c r="A29" s="49">
        <f t="shared" si="9"/>
        <v>18</v>
      </c>
      <c r="B29" s="50">
        <f>B28+30</f>
        <v>42277</v>
      </c>
      <c r="C29" s="51">
        <v>0</v>
      </c>
      <c r="D29" s="51">
        <v>0</v>
      </c>
      <c r="E29" s="51">
        <v>0</v>
      </c>
      <c r="F29" s="51">
        <f>(SUM($C$11:C28)-SUM($E$11:E28))*$D$3/12</f>
        <v>1697222.2385416664</v>
      </c>
      <c r="G29" s="51">
        <v>0</v>
      </c>
      <c r="H29" s="52">
        <f t="shared" si="0"/>
        <v>-1697222.2385416664</v>
      </c>
      <c r="I29" s="53">
        <f t="shared" si="10"/>
        <v>0.79963063836590986</v>
      </c>
      <c r="J29" s="52">
        <f t="shared" si="1"/>
        <v>-1357150.9020538912</v>
      </c>
      <c r="K29" s="54">
        <f t="shared" si="2"/>
        <v>42277</v>
      </c>
      <c r="L29" s="51">
        <f t="shared" si="11"/>
        <v>165357111.72032687</v>
      </c>
      <c r="M29" s="51">
        <f t="shared" si="3"/>
        <v>0</v>
      </c>
      <c r="N29" s="51">
        <v>0</v>
      </c>
      <c r="O29" s="51">
        <f t="shared" si="4"/>
        <v>2066963.8965040857</v>
      </c>
      <c r="P29" s="51">
        <f t="shared" si="5"/>
        <v>1697222.2385416664</v>
      </c>
      <c r="Q29" s="51">
        <f t="shared" si="6"/>
        <v>369741.65796241933</v>
      </c>
      <c r="R29" s="51">
        <f t="shared" si="7"/>
        <v>0</v>
      </c>
      <c r="S29" s="52">
        <f t="shared" si="8"/>
        <v>165726853.37828928</v>
      </c>
    </row>
    <row r="30" spans="1:19">
      <c r="A30" s="49">
        <f t="shared" si="9"/>
        <v>19</v>
      </c>
      <c r="B30" s="50">
        <f>B29+31</f>
        <v>42308</v>
      </c>
      <c r="C30" s="51">
        <v>0</v>
      </c>
      <c r="D30" s="51">
        <v>0</v>
      </c>
      <c r="E30" s="51">
        <v>13333333</v>
      </c>
      <c r="F30" s="51">
        <f>(SUM($C$11:C29)-SUM($E$11:E29))*$D$3/12</f>
        <v>1697222.2385416664</v>
      </c>
      <c r="G30" s="51">
        <v>0</v>
      </c>
      <c r="H30" s="52">
        <f t="shared" si="0"/>
        <v>-15030555.238541666</v>
      </c>
      <c r="I30" s="53">
        <f t="shared" si="10"/>
        <v>0.78975865517620747</v>
      </c>
      <c r="J30" s="52">
        <f t="shared" si="1"/>
        <v>-11870511.091742367</v>
      </c>
      <c r="K30" s="54">
        <f t="shared" si="2"/>
        <v>42308</v>
      </c>
      <c r="L30" s="51">
        <f t="shared" si="11"/>
        <v>165726853.37828928</v>
      </c>
      <c r="M30" s="51">
        <f t="shared" si="3"/>
        <v>0</v>
      </c>
      <c r="N30" s="51">
        <v>0</v>
      </c>
      <c r="O30" s="51">
        <f t="shared" si="4"/>
        <v>2071585.6672286158</v>
      </c>
      <c r="P30" s="51">
        <f t="shared" si="5"/>
        <v>1697222.2385416664</v>
      </c>
      <c r="Q30" s="51">
        <f t="shared" si="6"/>
        <v>374363.42868694942</v>
      </c>
      <c r="R30" s="51">
        <f t="shared" si="7"/>
        <v>13333333</v>
      </c>
      <c r="S30" s="52">
        <f t="shared" si="8"/>
        <v>152767883.80697623</v>
      </c>
    </row>
    <row r="31" spans="1:19">
      <c r="A31" s="49">
        <f t="shared" si="9"/>
        <v>20</v>
      </c>
      <c r="B31" s="50">
        <f>B30+30</f>
        <v>42338</v>
      </c>
      <c r="C31" s="51">
        <v>0</v>
      </c>
      <c r="D31" s="51">
        <v>0</v>
      </c>
      <c r="E31" s="51">
        <v>0</v>
      </c>
      <c r="F31" s="51">
        <f>(SUM($C$11:C30)-SUM($E$11:E30))*$D$3/12</f>
        <v>1566666.68625</v>
      </c>
      <c r="G31" s="51">
        <v>0</v>
      </c>
      <c r="H31" s="52">
        <f t="shared" si="0"/>
        <v>-1566666.68625</v>
      </c>
      <c r="I31" s="53">
        <f t="shared" si="10"/>
        <v>0.78000854832218014</v>
      </c>
      <c r="J31" s="52">
        <f t="shared" si="1"/>
        <v>-1222013.4076465829</v>
      </c>
      <c r="K31" s="54">
        <f t="shared" si="2"/>
        <v>42338</v>
      </c>
      <c r="L31" s="51">
        <f t="shared" si="11"/>
        <v>152767883.80697623</v>
      </c>
      <c r="M31" s="51">
        <f t="shared" si="3"/>
        <v>0</v>
      </c>
      <c r="N31" s="51">
        <v>0</v>
      </c>
      <c r="O31" s="51">
        <f t="shared" si="4"/>
        <v>1909598.5475872029</v>
      </c>
      <c r="P31" s="51">
        <f t="shared" si="5"/>
        <v>1566666.68625</v>
      </c>
      <c r="Q31" s="51">
        <f t="shared" si="6"/>
        <v>342931.86133720283</v>
      </c>
      <c r="R31" s="51">
        <f t="shared" si="7"/>
        <v>0</v>
      </c>
      <c r="S31" s="52">
        <f t="shared" si="8"/>
        <v>153110815.66831344</v>
      </c>
    </row>
    <row r="32" spans="1:19">
      <c r="A32" s="49">
        <f t="shared" si="9"/>
        <v>21</v>
      </c>
      <c r="B32" s="50">
        <f>B31+31</f>
        <v>42369</v>
      </c>
      <c r="C32" s="51">
        <v>0</v>
      </c>
      <c r="D32" s="51">
        <v>0</v>
      </c>
      <c r="E32" s="51">
        <v>0</v>
      </c>
      <c r="F32" s="51">
        <f>(SUM($C$11:C31)-SUM($E$11:E31))*$D$3/12</f>
        <v>1566666.68625</v>
      </c>
      <c r="G32" s="51">
        <v>0</v>
      </c>
      <c r="H32" s="52">
        <f t="shared" si="0"/>
        <v>-1566666.68625</v>
      </c>
      <c r="I32" s="53">
        <f t="shared" si="10"/>
        <v>0.77037881315770895</v>
      </c>
      <c r="J32" s="52">
        <f t="shared" si="1"/>
        <v>-1206926.8223669957</v>
      </c>
      <c r="K32" s="54">
        <f t="shared" si="2"/>
        <v>42369</v>
      </c>
      <c r="L32" s="51">
        <f t="shared" si="11"/>
        <v>153110815.66831344</v>
      </c>
      <c r="M32" s="51">
        <f t="shared" si="3"/>
        <v>0</v>
      </c>
      <c r="N32" s="51">
        <v>0</v>
      </c>
      <c r="O32" s="51">
        <f t="shared" si="4"/>
        <v>1913885.1958539179</v>
      </c>
      <c r="P32" s="51">
        <f t="shared" si="5"/>
        <v>1566666.68625</v>
      </c>
      <c r="Q32" s="51">
        <f t="shared" si="6"/>
        <v>347218.50960391783</v>
      </c>
      <c r="R32" s="51">
        <f t="shared" si="7"/>
        <v>0</v>
      </c>
      <c r="S32" s="52">
        <f t="shared" si="8"/>
        <v>153458034.17791736</v>
      </c>
    </row>
    <row r="33" spans="1:19">
      <c r="A33" s="49">
        <f t="shared" si="9"/>
        <v>22</v>
      </c>
      <c r="B33" s="50">
        <f>B32+31</f>
        <v>42400</v>
      </c>
      <c r="C33" s="51">
        <v>0</v>
      </c>
      <c r="D33" s="51">
        <v>0</v>
      </c>
      <c r="E33" s="51">
        <v>13333333</v>
      </c>
      <c r="F33" s="51">
        <f>(SUM($C$11:C32)-SUM($E$11:E32))*$D$3/12</f>
        <v>1566666.68625</v>
      </c>
      <c r="G33" s="51">
        <v>0</v>
      </c>
      <c r="H33" s="52">
        <f t="shared" si="0"/>
        <v>-14899999.686249999</v>
      </c>
      <c r="I33" s="53">
        <f t="shared" si="10"/>
        <v>0.76086796361255205</v>
      </c>
      <c r="J33" s="52">
        <f t="shared" si="1"/>
        <v>-11336932.419104701</v>
      </c>
      <c r="K33" s="54">
        <f t="shared" si="2"/>
        <v>42400</v>
      </c>
      <c r="L33" s="51">
        <f t="shared" si="11"/>
        <v>153458034.17791736</v>
      </c>
      <c r="M33" s="51">
        <f t="shared" si="3"/>
        <v>0</v>
      </c>
      <c r="N33" s="51">
        <v>0</v>
      </c>
      <c r="O33" s="51">
        <f t="shared" si="4"/>
        <v>1918225.4272239672</v>
      </c>
      <c r="P33" s="51">
        <f t="shared" si="5"/>
        <v>1566666.68625</v>
      </c>
      <c r="Q33" s="51">
        <f t="shared" si="6"/>
        <v>351558.74097396713</v>
      </c>
      <c r="R33" s="51">
        <f t="shared" si="7"/>
        <v>13333333</v>
      </c>
      <c r="S33" s="52">
        <f t="shared" si="8"/>
        <v>140476259.91889134</v>
      </c>
    </row>
    <row r="34" spans="1:19">
      <c r="A34" s="49">
        <f t="shared" si="9"/>
        <v>23</v>
      </c>
      <c r="B34" s="50">
        <f>B33+29</f>
        <v>42429</v>
      </c>
      <c r="C34" s="51">
        <v>0</v>
      </c>
      <c r="D34" s="51">
        <v>0</v>
      </c>
      <c r="E34" s="51">
        <v>0</v>
      </c>
      <c r="F34" s="51">
        <f>(SUM($C$11:C33)-SUM($E$11:E33))*$D$3/12</f>
        <v>1436111.1339583332</v>
      </c>
      <c r="G34" s="51">
        <v>0</v>
      </c>
      <c r="H34" s="52">
        <f t="shared" si="0"/>
        <v>-1436111.1339583332</v>
      </c>
      <c r="I34" s="53">
        <f t="shared" si="10"/>
        <v>0.75147453196301439</v>
      </c>
      <c r="J34" s="52">
        <f t="shared" si="1"/>
        <v>-1079200.9422382123</v>
      </c>
      <c r="K34" s="54">
        <f t="shared" si="2"/>
        <v>42429</v>
      </c>
      <c r="L34" s="51">
        <f t="shared" si="11"/>
        <v>140476259.91889134</v>
      </c>
      <c r="M34" s="51">
        <f t="shared" si="3"/>
        <v>0</v>
      </c>
      <c r="N34" s="51">
        <v>0</v>
      </c>
      <c r="O34" s="51">
        <f t="shared" si="4"/>
        <v>1755953.2489861418</v>
      </c>
      <c r="P34" s="51">
        <f t="shared" si="5"/>
        <v>1436111.1339583332</v>
      </c>
      <c r="Q34" s="51">
        <f t="shared" si="6"/>
        <v>319842.11502780858</v>
      </c>
      <c r="R34" s="51">
        <f t="shared" si="7"/>
        <v>0</v>
      </c>
      <c r="S34" s="52">
        <f t="shared" si="8"/>
        <v>140796102.03391916</v>
      </c>
    </row>
    <row r="35" spans="1:19">
      <c r="A35" s="49">
        <f t="shared" si="9"/>
        <v>24</v>
      </c>
      <c r="B35" s="50">
        <f>B34+31</f>
        <v>42460</v>
      </c>
      <c r="C35" s="51">
        <v>0</v>
      </c>
      <c r="D35" s="51">
        <v>0</v>
      </c>
      <c r="E35" s="51">
        <v>0</v>
      </c>
      <c r="F35" s="51">
        <f>(SUM($C$11:C34)-SUM($E$11:E34))*$D$3/12</f>
        <v>1436111.1339583332</v>
      </c>
      <c r="G35" s="51">
        <v>0</v>
      </c>
      <c r="H35" s="52">
        <f t="shared" si="0"/>
        <v>-1436111.1339583332</v>
      </c>
      <c r="I35" s="53">
        <f t="shared" si="10"/>
        <v>0.74219706860544621</v>
      </c>
      <c r="J35" s="52">
        <f t="shared" si="1"/>
        <v>-1065877.4738155182</v>
      </c>
      <c r="K35" s="54">
        <f t="shared" si="2"/>
        <v>42460</v>
      </c>
      <c r="L35" s="51">
        <f t="shared" si="11"/>
        <v>140796102.03391916</v>
      </c>
      <c r="M35" s="51">
        <f t="shared" si="3"/>
        <v>0</v>
      </c>
      <c r="N35" s="51">
        <v>0</v>
      </c>
      <c r="O35" s="51">
        <f t="shared" si="4"/>
        <v>1759951.2754239894</v>
      </c>
      <c r="P35" s="51">
        <f t="shared" si="5"/>
        <v>1436111.1339583332</v>
      </c>
      <c r="Q35" s="51">
        <f t="shared" si="6"/>
        <v>323840.14146565623</v>
      </c>
      <c r="R35" s="51">
        <f t="shared" si="7"/>
        <v>0</v>
      </c>
      <c r="S35" s="52">
        <f t="shared" si="8"/>
        <v>141119942.17538482</v>
      </c>
    </row>
    <row r="36" spans="1:19">
      <c r="A36" s="49">
        <f t="shared" si="9"/>
        <v>25</v>
      </c>
      <c r="B36" s="50">
        <f>B35+30</f>
        <v>42490</v>
      </c>
      <c r="C36" s="51">
        <v>0</v>
      </c>
      <c r="D36" s="51">
        <v>0</v>
      </c>
      <c r="E36" s="51">
        <v>13333333</v>
      </c>
      <c r="F36" s="51">
        <f>(SUM($C$11:C35)-SUM($E$11:E35))*$D$3/12</f>
        <v>1436111.1339583332</v>
      </c>
      <c r="G36" s="51">
        <v>0</v>
      </c>
      <c r="H36" s="52">
        <f t="shared" si="0"/>
        <v>-14769444.133958332</v>
      </c>
      <c r="I36" s="53">
        <f t="shared" si="10"/>
        <v>0.73303414183253957</v>
      </c>
      <c r="J36" s="52">
        <f t="shared" si="1"/>
        <v>-10826506.806079781</v>
      </c>
      <c r="K36" s="54">
        <f t="shared" si="2"/>
        <v>42490</v>
      </c>
      <c r="L36" s="51">
        <f t="shared" si="11"/>
        <v>141119942.17538482</v>
      </c>
      <c r="M36" s="51">
        <f t="shared" si="3"/>
        <v>0</v>
      </c>
      <c r="N36" s="51">
        <v>0</v>
      </c>
      <c r="O36" s="51">
        <f t="shared" si="4"/>
        <v>1763999.2771923102</v>
      </c>
      <c r="P36" s="51">
        <f t="shared" si="5"/>
        <v>1436111.1339583332</v>
      </c>
      <c r="Q36" s="51">
        <f t="shared" si="6"/>
        <v>327888.14323397703</v>
      </c>
      <c r="R36" s="51">
        <f t="shared" si="7"/>
        <v>13333333</v>
      </c>
      <c r="S36" s="52">
        <f t="shared" si="8"/>
        <v>128114497.3186188</v>
      </c>
    </row>
    <row r="37" spans="1:19">
      <c r="A37" s="49">
        <f t="shared" si="9"/>
        <v>26</v>
      </c>
      <c r="B37" s="50">
        <f>B36+31</f>
        <v>42521</v>
      </c>
      <c r="C37" s="51">
        <v>0</v>
      </c>
      <c r="D37" s="51">
        <v>0</v>
      </c>
      <c r="E37" s="51">
        <v>0</v>
      </c>
      <c r="F37" s="51">
        <f>(SUM($C$11:C36)-SUM($E$11:E36))*$D$3/12</f>
        <v>1305555.5816666665</v>
      </c>
      <c r="G37" s="51">
        <v>0</v>
      </c>
      <c r="H37" s="52">
        <f t="shared" si="0"/>
        <v>-1305555.5816666665</v>
      </c>
      <c r="I37" s="53">
        <f t="shared" si="10"/>
        <v>0.72398433761238457</v>
      </c>
      <c r="J37" s="52">
        <f t="shared" si="1"/>
        <v>-945201.79300909303</v>
      </c>
      <c r="K37" s="54">
        <f t="shared" si="2"/>
        <v>42521</v>
      </c>
      <c r="L37" s="51">
        <f t="shared" si="11"/>
        <v>128114497.3186188</v>
      </c>
      <c r="M37" s="51">
        <f t="shared" si="3"/>
        <v>0</v>
      </c>
      <c r="N37" s="51">
        <v>0</v>
      </c>
      <c r="O37" s="51">
        <f t="shared" si="4"/>
        <v>1601431.216482735</v>
      </c>
      <c r="P37" s="51">
        <f t="shared" si="5"/>
        <v>1305555.5816666665</v>
      </c>
      <c r="Q37" s="51">
        <f t="shared" si="6"/>
        <v>295875.63481606846</v>
      </c>
      <c r="R37" s="51">
        <f t="shared" si="7"/>
        <v>0</v>
      </c>
      <c r="S37" s="52">
        <f t="shared" si="8"/>
        <v>128410372.95343487</v>
      </c>
    </row>
    <row r="38" spans="1:19">
      <c r="A38" s="49">
        <f t="shared" si="9"/>
        <v>27</v>
      </c>
      <c r="B38" s="50">
        <f>B37+30</f>
        <v>42551</v>
      </c>
      <c r="C38" s="51">
        <v>0</v>
      </c>
      <c r="D38" s="51">
        <v>0</v>
      </c>
      <c r="E38" s="51">
        <v>0</v>
      </c>
      <c r="F38" s="51">
        <f>(SUM($C$11:C37)-SUM($E$11:E37))*$D$3/12</f>
        <v>1305555.5816666665</v>
      </c>
      <c r="G38" s="51">
        <v>0</v>
      </c>
      <c r="H38" s="52">
        <f t="shared" si="0"/>
        <v>-1305555.5816666665</v>
      </c>
      <c r="I38" s="53">
        <f t="shared" si="10"/>
        <v>0.71504625937025657</v>
      </c>
      <c r="J38" s="52">
        <f t="shared" si="1"/>
        <v>-933532.6350707094</v>
      </c>
      <c r="K38" s="54">
        <f t="shared" si="2"/>
        <v>42551</v>
      </c>
      <c r="L38" s="51">
        <f t="shared" si="11"/>
        <v>128410372.95343487</v>
      </c>
      <c r="M38" s="51">
        <f t="shared" si="3"/>
        <v>0</v>
      </c>
      <c r="N38" s="51">
        <v>0</v>
      </c>
      <c r="O38" s="51">
        <f t="shared" si="4"/>
        <v>1605129.6619179358</v>
      </c>
      <c r="P38" s="51">
        <f t="shared" si="5"/>
        <v>1305555.5816666665</v>
      </c>
      <c r="Q38" s="51">
        <f t="shared" si="6"/>
        <v>299574.08025126928</v>
      </c>
      <c r="R38" s="51">
        <f t="shared" si="7"/>
        <v>0</v>
      </c>
      <c r="S38" s="52">
        <f t="shared" si="8"/>
        <v>128709947.03368615</v>
      </c>
    </row>
    <row r="39" spans="1:19">
      <c r="A39" s="49">
        <f t="shared" si="9"/>
        <v>28</v>
      </c>
      <c r="B39" s="50">
        <f>B38+31</f>
        <v>42582</v>
      </c>
      <c r="C39" s="51">
        <v>0</v>
      </c>
      <c r="D39" s="51">
        <v>0</v>
      </c>
      <c r="E39" s="51">
        <v>13333333</v>
      </c>
      <c r="F39" s="51">
        <f>(SUM($C$11:C38)-SUM($E$11:E38))*$D$3/12</f>
        <v>1305555.5816666665</v>
      </c>
      <c r="G39" s="51">
        <v>0</v>
      </c>
      <c r="H39" s="52">
        <f t="shared" si="0"/>
        <v>-14638888.581666667</v>
      </c>
      <c r="I39" s="53">
        <f t="shared" si="10"/>
        <v>0.7062185277730928</v>
      </c>
      <c r="J39" s="52">
        <f t="shared" si="1"/>
        <v>-10338254.342378972</v>
      </c>
      <c r="K39" s="54">
        <f t="shared" si="2"/>
        <v>42582</v>
      </c>
      <c r="L39" s="51">
        <f t="shared" si="11"/>
        <v>128709947.03368615</v>
      </c>
      <c r="M39" s="51">
        <f t="shared" si="3"/>
        <v>0</v>
      </c>
      <c r="N39" s="51">
        <v>0</v>
      </c>
      <c r="O39" s="51">
        <f t="shared" si="4"/>
        <v>1608874.3379210767</v>
      </c>
      <c r="P39" s="51">
        <f t="shared" si="5"/>
        <v>1305555.5816666665</v>
      </c>
      <c r="Q39" s="51">
        <f t="shared" si="6"/>
        <v>303318.75625441014</v>
      </c>
      <c r="R39" s="51">
        <f t="shared" si="7"/>
        <v>13333333</v>
      </c>
      <c r="S39" s="52">
        <f t="shared" si="8"/>
        <v>115679932.78994055</v>
      </c>
    </row>
    <row r="40" spans="1:19">
      <c r="A40" s="49">
        <f t="shared" si="9"/>
        <v>29</v>
      </c>
      <c r="B40" s="50">
        <f>B39+31</f>
        <v>42613</v>
      </c>
      <c r="C40" s="51">
        <v>0</v>
      </c>
      <c r="D40" s="51">
        <v>0</v>
      </c>
      <c r="E40" s="51">
        <v>0</v>
      </c>
      <c r="F40" s="51">
        <f>(SUM($C$11:C39)-SUM($E$11:E39))*$D$3/12</f>
        <v>1175000.0293749999</v>
      </c>
      <c r="G40" s="51">
        <v>0</v>
      </c>
      <c r="H40" s="52">
        <f t="shared" si="0"/>
        <v>-1175000.0293749999</v>
      </c>
      <c r="I40" s="53">
        <f t="shared" si="10"/>
        <v>0.69749978051663497</v>
      </c>
      <c r="J40" s="52">
        <f t="shared" si="1"/>
        <v>-819562.26259610208</v>
      </c>
      <c r="K40" s="54">
        <f t="shared" si="2"/>
        <v>42613</v>
      </c>
      <c r="L40" s="51">
        <f t="shared" si="11"/>
        <v>115679932.78994055</v>
      </c>
      <c r="M40" s="51">
        <f t="shared" si="3"/>
        <v>0</v>
      </c>
      <c r="N40" s="51">
        <v>0</v>
      </c>
      <c r="O40" s="51">
        <f t="shared" si="4"/>
        <v>1445999.1598742567</v>
      </c>
      <c r="P40" s="51">
        <f t="shared" si="5"/>
        <v>1175000.0293749999</v>
      </c>
      <c r="Q40" s="51">
        <f t="shared" si="6"/>
        <v>270999.13049925677</v>
      </c>
      <c r="R40" s="51">
        <f t="shared" si="7"/>
        <v>0</v>
      </c>
      <c r="S40" s="52">
        <f t="shared" si="8"/>
        <v>115950931.92043981</v>
      </c>
    </row>
    <row r="41" spans="1:19">
      <c r="A41" s="49">
        <f t="shared" si="9"/>
        <v>30</v>
      </c>
      <c r="B41" s="50">
        <f>B40+30</f>
        <v>42643</v>
      </c>
      <c r="C41" s="51">
        <v>0</v>
      </c>
      <c r="D41" s="51">
        <v>0</v>
      </c>
      <c r="E41" s="51">
        <v>0</v>
      </c>
      <c r="F41" s="51">
        <f>(SUM($C$11:C40)-SUM($E$11:E40))*$D$3/12</f>
        <v>1175000.0293749999</v>
      </c>
      <c r="G41" s="51">
        <v>0</v>
      </c>
      <c r="H41" s="52">
        <f t="shared" si="0"/>
        <v>-1175000.0293749999</v>
      </c>
      <c r="I41" s="53">
        <f t="shared" si="10"/>
        <v>0.68888867211519489</v>
      </c>
      <c r="J41" s="52">
        <f t="shared" si="1"/>
        <v>-809444.20997145865</v>
      </c>
      <c r="K41" s="54">
        <f t="shared" si="2"/>
        <v>42643</v>
      </c>
      <c r="L41" s="51">
        <f t="shared" si="11"/>
        <v>115950931.92043981</v>
      </c>
      <c r="M41" s="51">
        <f t="shared" si="3"/>
        <v>0</v>
      </c>
      <c r="N41" s="51">
        <v>0</v>
      </c>
      <c r="O41" s="51">
        <f t="shared" si="4"/>
        <v>1449386.6490054976</v>
      </c>
      <c r="P41" s="51">
        <f t="shared" si="5"/>
        <v>1175000.0293749999</v>
      </c>
      <c r="Q41" s="51">
        <f t="shared" si="6"/>
        <v>274386.61963049765</v>
      </c>
      <c r="R41" s="51">
        <f t="shared" si="7"/>
        <v>0</v>
      </c>
      <c r="S41" s="52">
        <f t="shared" si="8"/>
        <v>116225318.54007031</v>
      </c>
    </row>
    <row r="42" spans="1:19">
      <c r="A42" s="49">
        <f t="shared" ref="A42:A59" si="12">A41+1</f>
        <v>31</v>
      </c>
      <c r="B42" s="50">
        <f>B41+31</f>
        <v>42674</v>
      </c>
      <c r="C42" s="51">
        <v>0</v>
      </c>
      <c r="D42" s="51">
        <v>0</v>
      </c>
      <c r="E42" s="51">
        <v>13333333</v>
      </c>
      <c r="F42" s="51">
        <f>(SUM($C$11:C41)-SUM($E$11:E41))*$D$3/12</f>
        <v>1175000.0293749999</v>
      </c>
      <c r="G42" s="51">
        <v>0</v>
      </c>
      <c r="H42" s="52">
        <f t="shared" si="0"/>
        <v>-14508333.029375</v>
      </c>
      <c r="I42" s="53">
        <f t="shared" si="10"/>
        <v>0.68038387369401987</v>
      </c>
      <c r="J42" s="52">
        <f t="shared" si="1"/>
        <v>-9871235.8273690566</v>
      </c>
      <c r="K42" s="54">
        <f t="shared" si="2"/>
        <v>42674</v>
      </c>
      <c r="L42" s="51">
        <f t="shared" si="11"/>
        <v>116225318.54007031</v>
      </c>
      <c r="M42" s="51">
        <f t="shared" si="3"/>
        <v>0</v>
      </c>
      <c r="N42" s="51">
        <v>0</v>
      </c>
      <c r="O42" s="51">
        <f t="shared" si="4"/>
        <v>1452816.4817508787</v>
      </c>
      <c r="P42" s="51">
        <f t="shared" si="5"/>
        <v>1175000.0293749999</v>
      </c>
      <c r="Q42" s="51">
        <f t="shared" si="6"/>
        <v>277816.45237587881</v>
      </c>
      <c r="R42" s="51">
        <f t="shared" si="7"/>
        <v>13333333</v>
      </c>
      <c r="S42" s="52">
        <f t="shared" si="8"/>
        <v>103169801.99244618</v>
      </c>
    </row>
    <row r="43" spans="1:19">
      <c r="A43" s="49">
        <f t="shared" si="12"/>
        <v>32</v>
      </c>
      <c r="B43" s="50">
        <f>B42+30</f>
        <v>42704</v>
      </c>
      <c r="C43" s="51">
        <v>0</v>
      </c>
      <c r="D43" s="51">
        <v>0</v>
      </c>
      <c r="E43" s="51">
        <v>0</v>
      </c>
      <c r="F43" s="51">
        <f>(SUM($C$11:C42)-SUM($E$11:E42))*$D$3/12</f>
        <v>1044444.4770833333</v>
      </c>
      <c r="G43" s="51">
        <v>0</v>
      </c>
      <c r="H43" s="52">
        <f t="shared" si="0"/>
        <v>-1044444.4770833333</v>
      </c>
      <c r="I43" s="53">
        <f t="shared" si="10"/>
        <v>0.67198407278421701</v>
      </c>
      <c r="J43" s="52">
        <f t="shared" si="1"/>
        <v>-701850.05350744014</v>
      </c>
      <c r="K43" s="54">
        <f t="shared" si="2"/>
        <v>42704</v>
      </c>
      <c r="L43" s="51">
        <f t="shared" si="11"/>
        <v>103169801.99244618</v>
      </c>
      <c r="M43" s="51">
        <f t="shared" si="3"/>
        <v>0</v>
      </c>
      <c r="N43" s="51">
        <v>0</v>
      </c>
      <c r="O43" s="51">
        <f t="shared" si="4"/>
        <v>1289622.5249055773</v>
      </c>
      <c r="P43" s="51">
        <f t="shared" si="5"/>
        <v>1044444.4770833333</v>
      </c>
      <c r="Q43" s="51">
        <f t="shared" si="6"/>
        <v>245178.047822244</v>
      </c>
      <c r="R43" s="51">
        <f t="shared" si="7"/>
        <v>0</v>
      </c>
      <c r="S43" s="52">
        <f t="shared" si="8"/>
        <v>103414980.04026842</v>
      </c>
    </row>
    <row r="44" spans="1:19">
      <c r="A44" s="49">
        <f t="shared" si="12"/>
        <v>33</v>
      </c>
      <c r="B44" s="50">
        <f>B43+31</f>
        <v>42735</v>
      </c>
      <c r="C44" s="51">
        <v>0</v>
      </c>
      <c r="D44" s="51">
        <v>0</v>
      </c>
      <c r="E44" s="51">
        <v>0</v>
      </c>
      <c r="F44" s="51">
        <f>(SUM($C$11:C43)-SUM($E$11:E43))*$D$3/12</f>
        <v>1044444.4770833333</v>
      </c>
      <c r="G44" s="51">
        <v>0</v>
      </c>
      <c r="H44" s="52">
        <f t="shared" si="0"/>
        <v>-1044444.4770833333</v>
      </c>
      <c r="I44" s="53">
        <f t="shared" si="10"/>
        <v>0.66368797312021433</v>
      </c>
      <c r="J44" s="52">
        <f t="shared" si="1"/>
        <v>-693185.2380320396</v>
      </c>
      <c r="K44" s="54">
        <f t="shared" si="2"/>
        <v>42735</v>
      </c>
      <c r="L44" s="51">
        <f t="shared" si="11"/>
        <v>103414980.04026842</v>
      </c>
      <c r="M44" s="51">
        <f t="shared" si="3"/>
        <v>0</v>
      </c>
      <c r="N44" s="51">
        <v>0</v>
      </c>
      <c r="O44" s="51">
        <f t="shared" si="4"/>
        <v>1292687.2505033552</v>
      </c>
      <c r="P44" s="51">
        <f t="shared" si="5"/>
        <v>1044444.4770833333</v>
      </c>
      <c r="Q44" s="51">
        <f t="shared" si="6"/>
        <v>248242.77342002187</v>
      </c>
      <c r="R44" s="51">
        <f t="shared" si="7"/>
        <v>0</v>
      </c>
      <c r="S44" s="52">
        <f t="shared" si="8"/>
        <v>103663222.81368844</v>
      </c>
    </row>
    <row r="45" spans="1:19">
      <c r="A45" s="49">
        <f t="shared" si="12"/>
        <v>34</v>
      </c>
      <c r="B45" s="50">
        <f>B44+31</f>
        <v>42766</v>
      </c>
      <c r="C45" s="51">
        <v>0</v>
      </c>
      <c r="D45" s="51">
        <v>0</v>
      </c>
      <c r="E45" s="51">
        <v>13333333</v>
      </c>
      <c r="F45" s="51">
        <f>(SUM($C$11:C44)-SUM($E$11:E44))*$D$3/12</f>
        <v>1044444.4770833333</v>
      </c>
      <c r="G45" s="51">
        <v>0</v>
      </c>
      <c r="H45" s="52">
        <f t="shared" si="0"/>
        <v>-14377777.477083333</v>
      </c>
      <c r="I45" s="53">
        <f t="shared" si="10"/>
        <v>0.65549429443971785</v>
      </c>
      <c r="J45" s="52">
        <f t="shared" si="1"/>
        <v>-9424551.1029520053</v>
      </c>
      <c r="K45" s="54">
        <f t="shared" si="2"/>
        <v>42766</v>
      </c>
      <c r="L45" s="51">
        <f t="shared" si="11"/>
        <v>103663222.81368844</v>
      </c>
      <c r="M45" s="51">
        <f t="shared" si="3"/>
        <v>0</v>
      </c>
      <c r="N45" s="51">
        <v>0</v>
      </c>
      <c r="O45" s="51">
        <f t="shared" si="4"/>
        <v>1295790.2851711055</v>
      </c>
      <c r="P45" s="51">
        <f t="shared" si="5"/>
        <v>1044444.4770833333</v>
      </c>
      <c r="Q45" s="51">
        <f t="shared" si="6"/>
        <v>251345.80808777222</v>
      </c>
      <c r="R45" s="51">
        <f t="shared" si="7"/>
        <v>13333333</v>
      </c>
      <c r="S45" s="52">
        <f t="shared" si="8"/>
        <v>90581235.621776208</v>
      </c>
    </row>
    <row r="46" spans="1:19">
      <c r="A46" s="49">
        <f t="shared" si="12"/>
        <v>35</v>
      </c>
      <c r="B46" s="50">
        <f>B45+28</f>
        <v>42794</v>
      </c>
      <c r="C46" s="51">
        <v>0</v>
      </c>
      <c r="D46" s="51">
        <v>0</v>
      </c>
      <c r="E46" s="51">
        <v>0</v>
      </c>
      <c r="F46" s="51">
        <f>(SUM($C$11:C45)-SUM($E$11:E45))*$D$3/12</f>
        <v>913888.92479166668</v>
      </c>
      <c r="G46" s="51">
        <v>0</v>
      </c>
      <c r="H46" s="52">
        <f t="shared" si="0"/>
        <v>-913888.92479166668</v>
      </c>
      <c r="I46" s="53">
        <f t="shared" si="10"/>
        <v>0.64740177228614115</v>
      </c>
      <c r="J46" s="52">
        <f t="shared" si="1"/>
        <v>-591653.30958280095</v>
      </c>
      <c r="K46" s="54">
        <f t="shared" si="2"/>
        <v>42794</v>
      </c>
      <c r="L46" s="51">
        <f t="shared" si="11"/>
        <v>90581235.621776208</v>
      </c>
      <c r="M46" s="51">
        <f t="shared" si="3"/>
        <v>0</v>
      </c>
      <c r="N46" s="51">
        <v>0</v>
      </c>
      <c r="O46" s="51">
        <f t="shared" si="4"/>
        <v>1132265.4452722026</v>
      </c>
      <c r="P46" s="51">
        <f t="shared" si="5"/>
        <v>913888.92479166668</v>
      </c>
      <c r="Q46" s="51">
        <f t="shared" si="6"/>
        <v>218376.52048053592</v>
      </c>
      <c r="R46" s="51">
        <f t="shared" si="7"/>
        <v>0</v>
      </c>
      <c r="S46" s="52">
        <f t="shared" si="8"/>
        <v>90799612.142256737</v>
      </c>
    </row>
    <row r="47" spans="1:19">
      <c r="A47" s="49">
        <f t="shared" si="12"/>
        <v>36</v>
      </c>
      <c r="B47" s="50">
        <f>B46+31</f>
        <v>42825</v>
      </c>
      <c r="C47" s="51">
        <v>0</v>
      </c>
      <c r="D47" s="51">
        <v>0</v>
      </c>
      <c r="E47" s="51">
        <v>0</v>
      </c>
      <c r="F47" s="51">
        <f>(SUM($C$11:C46)-SUM($E$11:E46))*$D$3/12</f>
        <v>913888.92479166668</v>
      </c>
      <c r="G47" s="51">
        <v>0</v>
      </c>
      <c r="H47" s="52">
        <f t="shared" si="0"/>
        <v>-913888.92479166668</v>
      </c>
      <c r="I47" s="53">
        <f t="shared" si="10"/>
        <v>0.63940915781347274</v>
      </c>
      <c r="J47" s="52">
        <f t="shared" si="1"/>
        <v>-584348.94773609971</v>
      </c>
      <c r="K47" s="54">
        <f t="shared" si="2"/>
        <v>42825</v>
      </c>
      <c r="L47" s="51">
        <f t="shared" si="11"/>
        <v>90799612.142256737</v>
      </c>
      <c r="M47" s="51">
        <f t="shared" si="3"/>
        <v>0</v>
      </c>
      <c r="N47" s="51">
        <v>0</v>
      </c>
      <c r="O47" s="51">
        <f t="shared" si="4"/>
        <v>1134995.1517782093</v>
      </c>
      <c r="P47" s="51">
        <f t="shared" si="5"/>
        <v>913888.92479166668</v>
      </c>
      <c r="Q47" s="51">
        <f t="shared" si="6"/>
        <v>221106.22698654258</v>
      </c>
      <c r="R47" s="51">
        <f t="shared" si="7"/>
        <v>0</v>
      </c>
      <c r="S47" s="52">
        <f t="shared" si="8"/>
        <v>91020718.369243279</v>
      </c>
    </row>
    <row r="48" spans="1:19">
      <c r="A48" s="49">
        <f t="shared" si="12"/>
        <v>37</v>
      </c>
      <c r="B48" s="50">
        <f>B47+30</f>
        <v>42855</v>
      </c>
      <c r="C48" s="51">
        <v>0</v>
      </c>
      <c r="D48" s="51">
        <v>0</v>
      </c>
      <c r="E48" s="51">
        <v>13334625</v>
      </c>
      <c r="F48" s="51">
        <f>(SUM($C$11:C47)-SUM($E$11:E47))*$D$3/12</f>
        <v>913888.92479166668</v>
      </c>
      <c r="G48" s="51">
        <v>0</v>
      </c>
      <c r="H48" s="52">
        <f t="shared" si="0"/>
        <v>-14248513.924791668</v>
      </c>
      <c r="I48" s="53">
        <f t="shared" si="10"/>
        <v>0.63151521759355334</v>
      </c>
      <c r="J48" s="52">
        <f t="shared" si="1"/>
        <v>-8998153.3715995848</v>
      </c>
      <c r="K48" s="54">
        <f t="shared" si="2"/>
        <v>42855</v>
      </c>
      <c r="L48" s="51">
        <f t="shared" si="11"/>
        <v>91020718.369243279</v>
      </c>
      <c r="M48" s="51">
        <f t="shared" si="3"/>
        <v>0</v>
      </c>
      <c r="N48" s="51">
        <v>0</v>
      </c>
      <c r="O48" s="51">
        <f t="shared" si="4"/>
        <v>1137758.9796155409</v>
      </c>
      <c r="P48" s="51">
        <f t="shared" si="5"/>
        <v>913888.92479166668</v>
      </c>
      <c r="Q48" s="51">
        <f t="shared" si="6"/>
        <v>223870.05482387426</v>
      </c>
      <c r="R48" s="51">
        <f t="shared" si="7"/>
        <v>13334625</v>
      </c>
      <c r="S48" s="52">
        <f t="shared" si="8"/>
        <v>77909963.424067155</v>
      </c>
    </row>
    <row r="49" spans="1:19">
      <c r="A49" s="49">
        <f t="shared" si="12"/>
        <v>38</v>
      </c>
      <c r="B49" s="50">
        <f>B48+31</f>
        <v>42886</v>
      </c>
      <c r="C49" s="51">
        <v>0</v>
      </c>
      <c r="D49" s="51">
        <v>0</v>
      </c>
      <c r="E49" s="51">
        <v>0</v>
      </c>
      <c r="F49" s="51">
        <f>(SUM($C$11:C48)-SUM($E$11:E48))*$D$3/12</f>
        <v>783320.72166666668</v>
      </c>
      <c r="G49" s="51">
        <v>0</v>
      </c>
      <c r="H49" s="52">
        <f t="shared" si="0"/>
        <v>-783320.72166666668</v>
      </c>
      <c r="I49" s="53">
        <f t="shared" si="10"/>
        <v>0.6237187334257317</v>
      </c>
      <c r="J49" s="52">
        <f t="shared" si="1"/>
        <v>-488571.80838406342</v>
      </c>
      <c r="K49" s="54">
        <f t="shared" si="2"/>
        <v>42886</v>
      </c>
      <c r="L49" s="51">
        <f t="shared" si="11"/>
        <v>77909963.424067155</v>
      </c>
      <c r="M49" s="51">
        <f t="shared" si="3"/>
        <v>0</v>
      </c>
      <c r="N49" s="51">
        <v>0</v>
      </c>
      <c r="O49" s="51">
        <f t="shared" si="4"/>
        <v>973874.54280083941</v>
      </c>
      <c r="P49" s="51">
        <f t="shared" si="5"/>
        <v>783320.72166666668</v>
      </c>
      <c r="Q49" s="51">
        <f t="shared" si="6"/>
        <v>190553.82113417273</v>
      </c>
      <c r="R49" s="51">
        <f t="shared" si="7"/>
        <v>0</v>
      </c>
      <c r="S49" s="52">
        <f t="shared" si="8"/>
        <v>78100517.245201334</v>
      </c>
    </row>
    <row r="50" spans="1:19">
      <c r="A50" s="49">
        <f t="shared" si="12"/>
        <v>39</v>
      </c>
      <c r="B50" s="50">
        <f>B49+30</f>
        <v>42916</v>
      </c>
      <c r="C50" s="51">
        <v>0</v>
      </c>
      <c r="D50" s="51">
        <v>0</v>
      </c>
      <c r="E50" s="51">
        <v>0</v>
      </c>
      <c r="F50" s="51">
        <f>(SUM($C$11:C49)-SUM($E$11:E49))*$D$3/12</f>
        <v>783320.72166666668</v>
      </c>
      <c r="G50" s="51">
        <v>0</v>
      </c>
      <c r="H50" s="52">
        <f t="shared" si="0"/>
        <v>-783320.72166666668</v>
      </c>
      <c r="I50" s="53">
        <f t="shared" si="10"/>
        <v>0.61601850214887088</v>
      </c>
      <c r="J50" s="52">
        <f t="shared" si="1"/>
        <v>-482540.0576632726</v>
      </c>
      <c r="K50" s="54">
        <f t="shared" si="2"/>
        <v>42916</v>
      </c>
      <c r="L50" s="51">
        <f t="shared" si="11"/>
        <v>78100517.245201334</v>
      </c>
      <c r="M50" s="51">
        <f t="shared" si="3"/>
        <v>0</v>
      </c>
      <c r="N50" s="51">
        <v>0</v>
      </c>
      <c r="O50" s="51">
        <f t="shared" si="4"/>
        <v>976256.46556501661</v>
      </c>
      <c r="P50" s="51">
        <f t="shared" si="5"/>
        <v>783320.72166666668</v>
      </c>
      <c r="Q50" s="51">
        <f t="shared" si="6"/>
        <v>192935.74389834993</v>
      </c>
      <c r="R50" s="51">
        <f t="shared" si="7"/>
        <v>0</v>
      </c>
      <c r="S50" s="52">
        <f t="shared" si="8"/>
        <v>78293452.989099681</v>
      </c>
    </row>
    <row r="51" spans="1:19">
      <c r="A51" s="49">
        <f t="shared" si="12"/>
        <v>40</v>
      </c>
      <c r="B51" s="50">
        <f>B50+31</f>
        <v>42947</v>
      </c>
      <c r="C51" s="51">
        <v>0</v>
      </c>
      <c r="D51" s="51">
        <v>0</v>
      </c>
      <c r="E51" s="51">
        <v>13333333</v>
      </c>
      <c r="F51" s="51">
        <f>(SUM($C$11:C50)-SUM($E$11:E50))*$D$3/12</f>
        <v>783320.72166666668</v>
      </c>
      <c r="G51" s="51">
        <v>0</v>
      </c>
      <c r="H51" s="52">
        <f t="shared" si="0"/>
        <v>-14116653.721666668</v>
      </c>
      <c r="I51" s="53">
        <f t="shared" si="10"/>
        <v>0.60841333545567489</v>
      </c>
      <c r="J51" s="52">
        <f t="shared" si="1"/>
        <v>-8588760.3762719836</v>
      </c>
      <c r="K51" s="54">
        <f t="shared" si="2"/>
        <v>42947</v>
      </c>
      <c r="L51" s="51">
        <f t="shared" si="11"/>
        <v>78293452.989099681</v>
      </c>
      <c r="M51" s="51">
        <f t="shared" si="3"/>
        <v>0</v>
      </c>
      <c r="N51" s="51">
        <v>0</v>
      </c>
      <c r="O51" s="51">
        <f t="shared" si="4"/>
        <v>978668.16236374609</v>
      </c>
      <c r="P51" s="51">
        <f t="shared" si="5"/>
        <v>783320.72166666668</v>
      </c>
      <c r="Q51" s="51">
        <f t="shared" si="6"/>
        <v>195347.44069707941</v>
      </c>
      <c r="R51" s="51">
        <f t="shared" si="7"/>
        <v>13333333</v>
      </c>
      <c r="S51" s="52">
        <f t="shared" si="8"/>
        <v>65155467.429796755</v>
      </c>
    </row>
    <row r="52" spans="1:19">
      <c r="A52" s="49">
        <f t="shared" si="12"/>
        <v>41</v>
      </c>
      <c r="B52" s="50">
        <f>B51+31</f>
        <v>42978</v>
      </c>
      <c r="C52" s="51">
        <v>0</v>
      </c>
      <c r="D52" s="51">
        <v>0</v>
      </c>
      <c r="E52" s="51">
        <v>0</v>
      </c>
      <c r="F52" s="51">
        <f>(SUM($C$11:C51)-SUM($E$11:E51))*$D$3/12</f>
        <v>652765.16937499994</v>
      </c>
      <c r="G52" s="51">
        <v>0</v>
      </c>
      <c r="H52" s="52">
        <f t="shared" si="0"/>
        <v>-652765.16937499994</v>
      </c>
      <c r="I52" s="53">
        <f t="shared" si="10"/>
        <v>0.60090205970930854</v>
      </c>
      <c r="J52" s="52">
        <f t="shared" si="1"/>
        <v>-392247.9347839331</v>
      </c>
      <c r="K52" s="54">
        <f t="shared" si="2"/>
        <v>42978</v>
      </c>
      <c r="L52" s="51">
        <f t="shared" si="11"/>
        <v>65155467.429796755</v>
      </c>
      <c r="M52" s="51">
        <f t="shared" si="3"/>
        <v>0</v>
      </c>
      <c r="N52" s="51">
        <v>0</v>
      </c>
      <c r="O52" s="51">
        <f t="shared" si="4"/>
        <v>814443.34287245944</v>
      </c>
      <c r="P52" s="51">
        <f t="shared" si="5"/>
        <v>652765.16937499994</v>
      </c>
      <c r="Q52" s="51">
        <f t="shared" si="6"/>
        <v>161678.1734974595</v>
      </c>
      <c r="R52" s="51">
        <f t="shared" si="7"/>
        <v>0</v>
      </c>
      <c r="S52" s="52">
        <f t="shared" si="8"/>
        <v>65317145.603294216</v>
      </c>
    </row>
    <row r="53" spans="1:19">
      <c r="A53" s="49">
        <f t="shared" si="12"/>
        <v>42</v>
      </c>
      <c r="B53" s="50">
        <f>B52+30</f>
        <v>43008</v>
      </c>
      <c r="C53" s="51">
        <v>0</v>
      </c>
      <c r="D53" s="51">
        <v>0</v>
      </c>
      <c r="E53" s="51">
        <v>0</v>
      </c>
      <c r="F53" s="51">
        <f>(SUM($C$11:C52)-SUM($E$11:E52))*$D$3/12</f>
        <v>652765.16937499994</v>
      </c>
      <c r="G53" s="51">
        <v>0</v>
      </c>
      <c r="H53" s="52">
        <f t="shared" si="0"/>
        <v>-652765.16937499994</v>
      </c>
      <c r="I53" s="53">
        <f t="shared" si="10"/>
        <v>0.59348351576227998</v>
      </c>
      <c r="J53" s="52">
        <f t="shared" si="1"/>
        <v>-387405.36768783513</v>
      </c>
      <c r="K53" s="54">
        <f t="shared" si="2"/>
        <v>43008</v>
      </c>
      <c r="L53" s="51">
        <f t="shared" si="11"/>
        <v>65317145.603294216</v>
      </c>
      <c r="M53" s="51">
        <f t="shared" si="3"/>
        <v>0</v>
      </c>
      <c r="N53" s="51">
        <v>0</v>
      </c>
      <c r="O53" s="51">
        <f t="shared" si="4"/>
        <v>816464.32004117768</v>
      </c>
      <c r="P53" s="51">
        <f t="shared" si="5"/>
        <v>652765.16937499994</v>
      </c>
      <c r="Q53" s="51">
        <f t="shared" si="6"/>
        <v>163699.15066617774</v>
      </c>
      <c r="R53" s="51">
        <f t="shared" si="7"/>
        <v>0</v>
      </c>
      <c r="S53" s="52">
        <f t="shared" si="8"/>
        <v>65480844.753960393</v>
      </c>
    </row>
    <row r="54" spans="1:19">
      <c r="A54" s="49">
        <f t="shared" si="12"/>
        <v>43</v>
      </c>
      <c r="B54" s="50">
        <f>B53+31</f>
        <v>43039</v>
      </c>
      <c r="C54" s="51">
        <v>0</v>
      </c>
      <c r="D54" s="51">
        <v>0</v>
      </c>
      <c r="E54" s="51">
        <v>13333333</v>
      </c>
      <c r="F54" s="51">
        <f>(SUM($C$11:C53)-SUM($E$11:E53))*$D$3/12</f>
        <v>652765.16937499994</v>
      </c>
      <c r="G54" s="51">
        <v>0</v>
      </c>
      <c r="H54" s="52">
        <f t="shared" si="0"/>
        <v>-13986098.169375001</v>
      </c>
      <c r="I54" s="53">
        <f t="shared" si="10"/>
        <v>0.58615655877756057</v>
      </c>
      <c r="J54" s="52">
        <f t="shared" si="1"/>
        <v>-8198043.1736859893</v>
      </c>
      <c r="K54" s="54">
        <f t="shared" si="2"/>
        <v>43039</v>
      </c>
      <c r="L54" s="51">
        <f t="shared" si="11"/>
        <v>65480844.753960393</v>
      </c>
      <c r="M54" s="51">
        <f t="shared" si="3"/>
        <v>0</v>
      </c>
      <c r="N54" s="51">
        <v>0</v>
      </c>
      <c r="O54" s="51">
        <f t="shared" si="4"/>
        <v>818510.55942450499</v>
      </c>
      <c r="P54" s="51">
        <f t="shared" si="5"/>
        <v>652765.16937499994</v>
      </c>
      <c r="Q54" s="51">
        <f t="shared" si="6"/>
        <v>165745.39004950505</v>
      </c>
      <c r="R54" s="51">
        <f t="shared" si="7"/>
        <v>13333333</v>
      </c>
      <c r="S54" s="52">
        <f t="shared" si="8"/>
        <v>52313257.144009896</v>
      </c>
    </row>
    <row r="55" spans="1:19">
      <c r="A55" s="49">
        <f t="shared" si="12"/>
        <v>44</v>
      </c>
      <c r="B55" s="50">
        <f>B54+30</f>
        <v>43069</v>
      </c>
      <c r="C55" s="51">
        <v>0</v>
      </c>
      <c r="D55" s="51">
        <v>0</v>
      </c>
      <c r="E55" s="51">
        <v>0</v>
      </c>
      <c r="F55" s="51">
        <f>(SUM($C$11:C54)-SUM($E$11:E54))*$D$3/12</f>
        <v>522209.61708333326</v>
      </c>
      <c r="G55" s="51">
        <v>0</v>
      </c>
      <c r="H55" s="52">
        <f t="shared" si="0"/>
        <v>-522209.61708333326</v>
      </c>
      <c r="I55" s="53">
        <f t="shared" si="10"/>
        <v>0.5789200580519116</v>
      </c>
      <c r="J55" s="52">
        <f t="shared" si="1"/>
        <v>-302317.62183714984</v>
      </c>
      <c r="K55" s="54">
        <f t="shared" si="2"/>
        <v>43069</v>
      </c>
      <c r="L55" s="51">
        <f t="shared" si="11"/>
        <v>52313257.144009896</v>
      </c>
      <c r="M55" s="51">
        <f t="shared" si="3"/>
        <v>0</v>
      </c>
      <c r="N55" s="51">
        <v>0</v>
      </c>
      <c r="O55" s="51">
        <f t="shared" si="4"/>
        <v>653915.71430012363</v>
      </c>
      <c r="P55" s="51">
        <f t="shared" si="5"/>
        <v>522209.61708333326</v>
      </c>
      <c r="Q55" s="51">
        <f t="shared" si="6"/>
        <v>131706.09721679037</v>
      </c>
      <c r="R55" s="51">
        <f t="shared" si="7"/>
        <v>0</v>
      </c>
      <c r="S55" s="52">
        <f t="shared" si="8"/>
        <v>52444963.241226688</v>
      </c>
    </row>
    <row r="56" spans="1:19">
      <c r="A56" s="49">
        <f t="shared" si="12"/>
        <v>45</v>
      </c>
      <c r="B56" s="50">
        <f>B55+31</f>
        <v>43100</v>
      </c>
      <c r="C56" s="51">
        <v>0</v>
      </c>
      <c r="D56" s="51">
        <v>0</v>
      </c>
      <c r="E56" s="51">
        <v>0</v>
      </c>
      <c r="F56" s="51">
        <f>(SUM($C$11:C55)-SUM($E$11:E55))*$D$3/12</f>
        <v>522209.61708333326</v>
      </c>
      <c r="G56" s="51">
        <v>0</v>
      </c>
      <c r="H56" s="52">
        <f t="shared" si="0"/>
        <v>-522209.61708333326</v>
      </c>
      <c r="I56" s="53">
        <f t="shared" si="10"/>
        <v>0.57177289684139432</v>
      </c>
      <c r="J56" s="52">
        <f t="shared" si="1"/>
        <v>-298585.30551817274</v>
      </c>
      <c r="K56" s="54">
        <f t="shared" si="2"/>
        <v>43100</v>
      </c>
      <c r="L56" s="51">
        <f t="shared" si="11"/>
        <v>52444963.241226688</v>
      </c>
      <c r="M56" s="51">
        <f t="shared" si="3"/>
        <v>0</v>
      </c>
      <c r="N56" s="51">
        <v>0</v>
      </c>
      <c r="O56" s="51">
        <f t="shared" si="4"/>
        <v>655562.04051533353</v>
      </c>
      <c r="P56" s="51">
        <f t="shared" si="5"/>
        <v>522209.61708333326</v>
      </c>
      <c r="Q56" s="51">
        <f t="shared" si="6"/>
        <v>133352.42343200027</v>
      </c>
      <c r="R56" s="51">
        <f t="shared" si="7"/>
        <v>0</v>
      </c>
      <c r="S56" s="52">
        <f t="shared" si="8"/>
        <v>52578315.664658688</v>
      </c>
    </row>
    <row r="57" spans="1:19">
      <c r="A57" s="49">
        <f t="shared" si="12"/>
        <v>46</v>
      </c>
      <c r="B57" s="50">
        <f>B56+31</f>
        <v>43131</v>
      </c>
      <c r="C57" s="51">
        <v>0</v>
      </c>
      <c r="D57" s="51">
        <v>0</v>
      </c>
      <c r="E57" s="51">
        <v>13333333</v>
      </c>
      <c r="F57" s="51">
        <f>(SUM($C$11:C56)-SUM($E$11:E56))*$D$3/12</f>
        <v>522209.61708333326</v>
      </c>
      <c r="G57" s="51">
        <v>0</v>
      </c>
      <c r="H57" s="52">
        <f t="shared" si="0"/>
        <v>-13855542.617083333</v>
      </c>
      <c r="I57" s="53">
        <f t="shared" si="10"/>
        <v>0.5647139721890313</v>
      </c>
      <c r="J57" s="52">
        <f t="shared" si="1"/>
        <v>-7824418.5081275357</v>
      </c>
      <c r="K57" s="54">
        <f t="shared" si="2"/>
        <v>43131</v>
      </c>
      <c r="L57" s="51">
        <f t="shared" si="11"/>
        <v>52578315.664658688</v>
      </c>
      <c r="M57" s="51">
        <f t="shared" si="3"/>
        <v>0</v>
      </c>
      <c r="N57" s="51">
        <v>0</v>
      </c>
      <c r="O57" s="51">
        <f t="shared" si="4"/>
        <v>657228.94580823358</v>
      </c>
      <c r="P57" s="51">
        <f t="shared" si="5"/>
        <v>522209.61708333326</v>
      </c>
      <c r="Q57" s="51">
        <f t="shared" si="6"/>
        <v>135019.32872490032</v>
      </c>
      <c r="R57" s="51">
        <f t="shared" si="7"/>
        <v>13333333</v>
      </c>
      <c r="S57" s="52">
        <f t="shared" si="8"/>
        <v>39380001.993383586</v>
      </c>
    </row>
    <row r="58" spans="1:19">
      <c r="A58" s="49">
        <f t="shared" si="12"/>
        <v>47</v>
      </c>
      <c r="B58" s="50">
        <f>B57+28</f>
        <v>43159</v>
      </c>
      <c r="C58" s="51">
        <v>0</v>
      </c>
      <c r="D58" s="51">
        <v>0</v>
      </c>
      <c r="E58" s="51">
        <v>0</v>
      </c>
      <c r="F58" s="51">
        <f>(SUM($C$11:C57)-SUM($E$11:E57))*$D$3/12</f>
        <v>391654.06479166663</v>
      </c>
      <c r="G58" s="51">
        <v>0</v>
      </c>
      <c r="H58" s="52">
        <f t="shared" si="0"/>
        <v>-391654.06479166663</v>
      </c>
      <c r="I58" s="53">
        <f t="shared" si="10"/>
        <v>0.55774219475459896</v>
      </c>
      <c r="J58" s="52">
        <f t="shared" si="1"/>
        <v>-218441.99768146404</v>
      </c>
      <c r="K58" s="54">
        <f t="shared" si="2"/>
        <v>43159</v>
      </c>
      <c r="L58" s="51">
        <f t="shared" si="11"/>
        <v>39380001.993383586</v>
      </c>
      <c r="M58" s="51">
        <f t="shared" si="3"/>
        <v>0</v>
      </c>
      <c r="N58" s="51">
        <v>0</v>
      </c>
      <c r="O58" s="51">
        <f t="shared" si="4"/>
        <v>492250.0249172948</v>
      </c>
      <c r="P58" s="51">
        <f t="shared" si="5"/>
        <v>391654.06479166663</v>
      </c>
      <c r="Q58" s="51">
        <f t="shared" si="6"/>
        <v>100595.96012562816</v>
      </c>
      <c r="R58" s="51">
        <f t="shared" si="7"/>
        <v>0</v>
      </c>
      <c r="S58" s="52">
        <f t="shared" si="8"/>
        <v>39480597.953509212</v>
      </c>
    </row>
    <row r="59" spans="1:19">
      <c r="A59" s="49">
        <f t="shared" si="12"/>
        <v>48</v>
      </c>
      <c r="B59" s="50">
        <f>B58+31</f>
        <v>43190</v>
      </c>
      <c r="C59" s="51">
        <v>0</v>
      </c>
      <c r="D59" s="51">
        <v>0</v>
      </c>
      <c r="E59" s="51">
        <v>0</v>
      </c>
      <c r="F59" s="51">
        <f>(SUM($C$11:C58)-SUM($E$11:E58))*$D$3/12</f>
        <v>391654.06479166663</v>
      </c>
      <c r="G59" s="51">
        <v>0</v>
      </c>
      <c r="H59" s="52">
        <f t="shared" si="0"/>
        <v>-391654.06479166663</v>
      </c>
      <c r="I59" s="53">
        <f t="shared" si="10"/>
        <v>0.55085648864651737</v>
      </c>
      <c r="J59" s="52">
        <f t="shared" si="1"/>
        <v>-215745.18289527309</v>
      </c>
      <c r="K59" s="54">
        <f t="shared" si="2"/>
        <v>43190</v>
      </c>
      <c r="L59" s="51">
        <f t="shared" si="11"/>
        <v>39480597.953509212</v>
      </c>
      <c r="M59" s="51">
        <f t="shared" si="3"/>
        <v>0</v>
      </c>
      <c r="N59" s="51">
        <v>0</v>
      </c>
      <c r="O59" s="51">
        <f t="shared" si="4"/>
        <v>493507.47441886511</v>
      </c>
      <c r="P59" s="51">
        <f t="shared" si="5"/>
        <v>391654.06479166663</v>
      </c>
      <c r="Q59" s="51">
        <f t="shared" si="6"/>
        <v>101853.40962719847</v>
      </c>
      <c r="R59" s="51">
        <f t="shared" si="7"/>
        <v>0</v>
      </c>
      <c r="S59" s="52">
        <f t="shared" si="8"/>
        <v>39582451.363136411</v>
      </c>
    </row>
    <row r="60" spans="1:19">
      <c r="A60" s="55">
        <f t="shared" ref="A60:A66" si="13">A59+1</f>
        <v>49</v>
      </c>
      <c r="B60" s="50">
        <f>B59+30</f>
        <v>43220</v>
      </c>
      <c r="C60" s="51">
        <v>0</v>
      </c>
      <c r="D60" s="51">
        <v>0</v>
      </c>
      <c r="E60" s="51">
        <v>13334625</v>
      </c>
      <c r="F60" s="51">
        <f>(SUM($C$11:C59)-SUM($E$11:E59))*$D$3/12</f>
        <v>391654.06479166663</v>
      </c>
      <c r="G60" s="51">
        <v>0</v>
      </c>
      <c r="H60" s="52">
        <f t="shared" si="0"/>
        <v>-13726279.064791666</v>
      </c>
      <c r="I60" s="53">
        <f t="shared" si="10"/>
        <v>0.54405579125581971</v>
      </c>
      <c r="J60" s="52">
        <f t="shared" si="1"/>
        <v>-7467861.6175934235</v>
      </c>
      <c r="K60" s="54">
        <f t="shared" si="2"/>
        <v>43220</v>
      </c>
      <c r="L60" s="51">
        <f t="shared" si="11"/>
        <v>39582451.363136411</v>
      </c>
      <c r="M60" s="51">
        <f t="shared" si="3"/>
        <v>0</v>
      </c>
      <c r="N60" s="51">
        <v>0</v>
      </c>
      <c r="O60" s="51">
        <f t="shared" si="4"/>
        <v>494780.64203920512</v>
      </c>
      <c r="P60" s="51">
        <f t="shared" si="5"/>
        <v>391654.06479166663</v>
      </c>
      <c r="Q60" s="51">
        <f t="shared" si="6"/>
        <v>103126.57724753849</v>
      </c>
      <c r="R60" s="51">
        <f t="shared" si="7"/>
        <v>13334625</v>
      </c>
      <c r="S60" s="52">
        <f t="shared" si="8"/>
        <v>26350952.940383948</v>
      </c>
    </row>
    <row r="61" spans="1:19">
      <c r="A61" s="55">
        <f t="shared" si="13"/>
        <v>50</v>
      </c>
      <c r="B61" s="50">
        <f>B60+31</f>
        <v>43251</v>
      </c>
      <c r="C61" s="51">
        <v>0</v>
      </c>
      <c r="D61" s="51">
        <v>0</v>
      </c>
      <c r="E61" s="51">
        <v>0</v>
      </c>
      <c r="F61" s="51">
        <f>(SUM($C$11:C60)-SUM($E$11:E60))*$D$3/12</f>
        <v>261085.86166666666</v>
      </c>
      <c r="G61" s="51">
        <v>0</v>
      </c>
      <c r="H61" s="52">
        <f t="shared" si="0"/>
        <v>-261085.86166666666</v>
      </c>
      <c r="I61" s="53">
        <f t="shared" si="10"/>
        <v>0.53733905309216745</v>
      </c>
      <c r="J61" s="52">
        <f t="shared" si="1"/>
        <v>-140291.62968371928</v>
      </c>
      <c r="K61" s="54">
        <f t="shared" si="2"/>
        <v>43251</v>
      </c>
      <c r="L61" s="51">
        <f t="shared" si="11"/>
        <v>26350952.940383948</v>
      </c>
      <c r="M61" s="51">
        <f t="shared" si="3"/>
        <v>0</v>
      </c>
      <c r="N61" s="51">
        <v>0</v>
      </c>
      <c r="O61" s="51">
        <f t="shared" si="4"/>
        <v>329386.91175479937</v>
      </c>
      <c r="P61" s="51">
        <f t="shared" si="5"/>
        <v>261085.86166666666</v>
      </c>
      <c r="Q61" s="51">
        <f t="shared" si="6"/>
        <v>68301.050088132703</v>
      </c>
      <c r="R61" s="51">
        <f t="shared" si="7"/>
        <v>0</v>
      </c>
      <c r="S61" s="52">
        <f t="shared" si="8"/>
        <v>26419253.990472082</v>
      </c>
    </row>
    <row r="62" spans="1:19">
      <c r="A62" s="55">
        <f t="shared" si="13"/>
        <v>51</v>
      </c>
      <c r="B62" s="50">
        <f>B61+30</f>
        <v>43281</v>
      </c>
      <c r="C62" s="51">
        <v>0</v>
      </c>
      <c r="D62" s="51">
        <v>0</v>
      </c>
      <c r="E62" s="51">
        <v>0</v>
      </c>
      <c r="F62" s="51">
        <f>(SUM($C$11:C61)-SUM($E$11:E61))*$D$3/12</f>
        <v>261085.86166666666</v>
      </c>
      <c r="G62" s="51">
        <v>0</v>
      </c>
      <c r="H62" s="52">
        <f t="shared" si="0"/>
        <v>-261085.86166666666</v>
      </c>
      <c r="I62" s="53">
        <f t="shared" si="10"/>
        <v>0.53070523762189392</v>
      </c>
      <c r="J62" s="52">
        <f t="shared" si="1"/>
        <v>-138559.63425552525</v>
      </c>
      <c r="K62" s="54">
        <f t="shared" si="2"/>
        <v>43281</v>
      </c>
      <c r="L62" s="51">
        <f t="shared" si="11"/>
        <v>26419253.990472082</v>
      </c>
      <c r="M62" s="51">
        <f t="shared" si="3"/>
        <v>0</v>
      </c>
      <c r="N62" s="51">
        <v>0</v>
      </c>
      <c r="O62" s="51">
        <f t="shared" si="4"/>
        <v>330240.674880901</v>
      </c>
      <c r="P62" s="51">
        <f t="shared" si="5"/>
        <v>261085.86166666666</v>
      </c>
      <c r="Q62" s="51">
        <f t="shared" si="6"/>
        <v>69154.813214234338</v>
      </c>
      <c r="R62" s="51">
        <f t="shared" si="7"/>
        <v>0</v>
      </c>
      <c r="S62" s="52">
        <f t="shared" si="8"/>
        <v>26488408.803686317</v>
      </c>
    </row>
    <row r="63" spans="1:19">
      <c r="A63" s="55">
        <f t="shared" si="13"/>
        <v>52</v>
      </c>
      <c r="B63" s="50">
        <f>B62+31</f>
        <v>43312</v>
      </c>
      <c r="C63" s="51">
        <v>0</v>
      </c>
      <c r="D63" s="51">
        <v>0</v>
      </c>
      <c r="E63" s="51">
        <v>13333333</v>
      </c>
      <c r="F63" s="51">
        <f>(SUM($C$11:C62)-SUM($E$11:E62))*$D$3/12</f>
        <v>261085.86166666666</v>
      </c>
      <c r="G63" s="51">
        <v>0</v>
      </c>
      <c r="H63" s="52">
        <f t="shared" si="0"/>
        <v>-13594418.861666666</v>
      </c>
      <c r="I63" s="53">
        <f t="shared" si="10"/>
        <v>0.52415332110804336</v>
      </c>
      <c r="J63" s="52">
        <f t="shared" si="1"/>
        <v>-7125559.7948764097</v>
      </c>
      <c r="K63" s="54">
        <f t="shared" si="2"/>
        <v>43312</v>
      </c>
      <c r="L63" s="51">
        <f t="shared" si="11"/>
        <v>26488408.803686317</v>
      </c>
      <c r="M63" s="51">
        <f t="shared" si="3"/>
        <v>0</v>
      </c>
      <c r="N63" s="51">
        <v>0</v>
      </c>
      <c r="O63" s="51">
        <f t="shared" si="4"/>
        <v>331105.11004607897</v>
      </c>
      <c r="P63" s="51">
        <f t="shared" si="5"/>
        <v>261085.86166666666</v>
      </c>
      <c r="Q63" s="51">
        <f t="shared" si="6"/>
        <v>70019.248379412311</v>
      </c>
      <c r="R63" s="51">
        <f t="shared" si="7"/>
        <v>13333333</v>
      </c>
      <c r="S63" s="52">
        <f t="shared" si="8"/>
        <v>13225095.05206573</v>
      </c>
    </row>
    <row r="64" spans="1:19">
      <c r="A64" s="55">
        <f t="shared" si="13"/>
        <v>53</v>
      </c>
      <c r="B64" s="50">
        <f>B63+31</f>
        <v>43343</v>
      </c>
      <c r="C64" s="51">
        <v>0</v>
      </c>
      <c r="D64" s="51">
        <v>0</v>
      </c>
      <c r="E64" s="51">
        <v>0</v>
      </c>
      <c r="F64" s="51">
        <f>(SUM($C$11:C63)-SUM($E$11:E63))*$D$3/12</f>
        <v>130530.309375</v>
      </c>
      <c r="G64" s="51">
        <v>0</v>
      </c>
      <c r="H64" s="52">
        <f t="shared" si="0"/>
        <v>-130530.309375</v>
      </c>
      <c r="I64" s="53">
        <f t="shared" si="10"/>
        <v>0.51768229245238861</v>
      </c>
      <c r="J64" s="52">
        <f t="shared" si="1"/>
        <v>-67573.22979176951</v>
      </c>
      <c r="K64" s="54">
        <f t="shared" si="2"/>
        <v>43343</v>
      </c>
      <c r="L64" s="51">
        <f t="shared" si="11"/>
        <v>13225095.05206573</v>
      </c>
      <c r="M64" s="51">
        <f t="shared" si="3"/>
        <v>0</v>
      </c>
      <c r="N64" s="51">
        <v>0</v>
      </c>
      <c r="O64" s="51">
        <f t="shared" si="4"/>
        <v>165313.68815082163</v>
      </c>
      <c r="P64" s="51">
        <f t="shared" si="5"/>
        <v>130530.309375</v>
      </c>
      <c r="Q64" s="51">
        <f t="shared" si="6"/>
        <v>34783.378775821635</v>
      </c>
      <c r="R64" s="51">
        <f t="shared" si="7"/>
        <v>0</v>
      </c>
      <c r="S64" s="52">
        <f t="shared" si="8"/>
        <v>13259878.430841552</v>
      </c>
    </row>
    <row r="65" spans="1:19">
      <c r="A65" s="55">
        <f t="shared" si="13"/>
        <v>54</v>
      </c>
      <c r="B65" s="50">
        <f>B64+30</f>
        <v>43373</v>
      </c>
      <c r="C65" s="51">
        <v>0</v>
      </c>
      <c r="D65" s="51">
        <v>0</v>
      </c>
      <c r="E65" s="51">
        <v>0</v>
      </c>
      <c r="F65" s="51">
        <f>(SUM($C$11:C64)-SUM($E$11:E64))*$D$3/12</f>
        <v>130530.309375</v>
      </c>
      <c r="G65" s="51">
        <v>0</v>
      </c>
      <c r="H65" s="52">
        <f t="shared" si="0"/>
        <v>-130530.309375</v>
      </c>
      <c r="I65" s="53">
        <f t="shared" si="10"/>
        <v>0.5112911530393961</v>
      </c>
      <c r="J65" s="52">
        <f t="shared" si="1"/>
        <v>-66738.992386932849</v>
      </c>
      <c r="K65" s="54">
        <f t="shared" si="2"/>
        <v>43373</v>
      </c>
      <c r="L65" s="51">
        <f t="shared" si="11"/>
        <v>13259878.430841552</v>
      </c>
      <c r="M65" s="51">
        <f t="shared" si="3"/>
        <v>0</v>
      </c>
      <c r="N65" s="51">
        <v>0</v>
      </c>
      <c r="O65" s="51">
        <f t="shared" si="4"/>
        <v>165748.48038551939</v>
      </c>
      <c r="P65" s="51">
        <f t="shared" si="5"/>
        <v>130530.309375</v>
      </c>
      <c r="Q65" s="51">
        <f t="shared" si="6"/>
        <v>35218.171010519392</v>
      </c>
      <c r="R65" s="51">
        <f t="shared" si="7"/>
        <v>0</v>
      </c>
      <c r="S65" s="52">
        <f t="shared" si="8"/>
        <v>13295096.601852072</v>
      </c>
    </row>
    <row r="66" spans="1:19" ht="15.75" thickBot="1">
      <c r="A66" s="56">
        <f t="shared" si="13"/>
        <v>55</v>
      </c>
      <c r="B66" s="50">
        <f>B65+31</f>
        <v>43404</v>
      </c>
      <c r="C66" s="51">
        <v>0</v>
      </c>
      <c r="D66" s="51">
        <v>0</v>
      </c>
      <c r="E66" s="51">
        <f>13331307-552</f>
        <v>13330755</v>
      </c>
      <c r="F66" s="51">
        <f>(SUM($C$11:C65)-SUM($E$11:E65))*$D$3/12</f>
        <v>130530.309375</v>
      </c>
      <c r="G66" s="57">
        <v>0</v>
      </c>
      <c r="H66" s="58">
        <f t="shared" si="0"/>
        <v>-13461285.309374999</v>
      </c>
      <c r="I66" s="53">
        <f t="shared" si="10"/>
        <v>0.50497891658211969</v>
      </c>
      <c r="J66" s="58">
        <f t="shared" si="1"/>
        <v>-6797665.2713309908</v>
      </c>
      <c r="K66" s="59">
        <f t="shared" si="2"/>
        <v>43404</v>
      </c>
      <c r="L66" s="57">
        <f t="shared" si="11"/>
        <v>13295096.601852072</v>
      </c>
      <c r="M66" s="57">
        <f t="shared" si="3"/>
        <v>0</v>
      </c>
      <c r="N66" s="51">
        <v>0</v>
      </c>
      <c r="O66" s="57">
        <f t="shared" si="4"/>
        <v>166188.70752315089</v>
      </c>
      <c r="P66" s="57">
        <f t="shared" si="5"/>
        <v>130530.309375</v>
      </c>
      <c r="Q66" s="57">
        <f t="shared" si="6"/>
        <v>35658.398148150896</v>
      </c>
      <c r="R66" s="57">
        <f t="shared" si="7"/>
        <v>13330755</v>
      </c>
      <c r="S66" s="58">
        <f t="shared" si="8"/>
        <v>2.2351741790771484E-7</v>
      </c>
    </row>
  </sheetData>
  <sheetProtection algorithmName="SHA-512" hashValue="vZ6Bw6PAQFEwPxb/n4ZH1HOtBzDg4SSWMsVh1RWLxV9ztE9NNp8nRTrcsucHqF3Sp5vjTaVEVFHy/i9IHrGfJw==" saltValue="90fPDT9rE8cT6WVpR1xSzA==" spinCount="100000" sheet="1" formatCells="0" formatColumns="0" formatRows="0" insertColumns="0" insertRows="0" insertHyperlinks="0" deleteColumns="0" deleteRows="0" sort="0" autoFilter="0" pivotTables="0"/>
  <mergeCells count="11">
    <mergeCell ref="A9:H9"/>
    <mergeCell ref="K9:S9"/>
    <mergeCell ref="I9:J9"/>
    <mergeCell ref="B2:C2"/>
    <mergeCell ref="B3:C3"/>
    <mergeCell ref="B4:C4"/>
    <mergeCell ref="B7:C7"/>
    <mergeCell ref="H6:I6"/>
    <mergeCell ref="H2:I2"/>
    <mergeCell ref="H3:I3"/>
    <mergeCell ref="H4:I4"/>
  </mergeCells>
  <dataValidations disablePrompts="1" count="1">
    <dataValidation type="list" allowBlank="1" showInputMessage="1" showErrorMessage="1" sqref="J6">
      <formula1>Rate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showGridLines="0" view="pageBreakPreview" zoomScaleSheetLayoutView="100" workbookViewId="0">
      <pane ySplit="2" topLeftCell="A3" activePane="bottomLeft" state="frozen"/>
      <selection pane="bottomLeft" activeCell="B7" sqref="B7"/>
    </sheetView>
  </sheetViews>
  <sheetFormatPr defaultRowHeight="15"/>
  <cols>
    <col min="1" max="1" width="10.7109375" style="3" bestFit="1" customWidth="1"/>
    <col min="2" max="2" width="15.42578125" customWidth="1"/>
    <col min="3" max="3" width="16.85546875" bestFit="1" customWidth="1"/>
    <col min="4" max="4" width="13.7109375" style="2" bestFit="1" customWidth="1"/>
    <col min="5" max="5" width="15.28515625" style="2" customWidth="1"/>
    <col min="6" max="7" width="11" bestFit="1" customWidth="1"/>
    <col min="8" max="8" width="13.140625" bestFit="1" customWidth="1"/>
    <col min="9" max="9" width="11" bestFit="1" customWidth="1"/>
    <col min="10" max="10" width="13.140625" bestFit="1" customWidth="1"/>
    <col min="11" max="11" width="11" bestFit="1" customWidth="1"/>
    <col min="12" max="12" width="13.140625" bestFit="1" customWidth="1"/>
    <col min="13" max="13" width="11" bestFit="1" customWidth="1"/>
    <col min="15" max="15" width="11" bestFit="1" customWidth="1"/>
  </cols>
  <sheetData>
    <row r="2" spans="1:5">
      <c r="A2" s="7" t="s">
        <v>57</v>
      </c>
    </row>
    <row r="4" spans="1:5">
      <c r="A4" s="7" t="s">
        <v>34</v>
      </c>
    </row>
    <row r="5" spans="1:5">
      <c r="A5" s="3">
        <f>Working!B11</f>
        <v>41730</v>
      </c>
      <c r="B5" t="s">
        <v>30</v>
      </c>
      <c r="C5" t="s">
        <v>31</v>
      </c>
      <c r="D5" s="2">
        <f>Working!H11</f>
        <v>18723711</v>
      </c>
    </row>
    <row r="6" spans="1:5">
      <c r="B6" t="s">
        <v>32</v>
      </c>
      <c r="E6" s="2">
        <f>Working!S11</f>
        <v>8797632.0543530323</v>
      </c>
    </row>
    <row r="7" spans="1:5">
      <c r="B7" t="s">
        <v>33</v>
      </c>
      <c r="E7" s="2">
        <f>Working!N11</f>
        <v>9926078.9456469677</v>
      </c>
    </row>
    <row r="9" spans="1:5">
      <c r="A9" s="7" t="s">
        <v>48</v>
      </c>
    </row>
    <row r="10" spans="1:5" ht="45">
      <c r="A10" s="8" t="s">
        <v>43</v>
      </c>
      <c r="B10" s="9" t="s">
        <v>40</v>
      </c>
      <c r="C10" s="9" t="s">
        <v>41</v>
      </c>
      <c r="D10" s="9" t="s">
        <v>42</v>
      </c>
      <c r="E10" s="10" t="s">
        <v>7</v>
      </c>
    </row>
    <row r="11" spans="1:5">
      <c r="A11" s="4" t="s">
        <v>35</v>
      </c>
      <c r="B11" s="4">
        <f>SUM(Working!$O$11:$O$23)</f>
        <v>17489641.085983571</v>
      </c>
      <c r="C11" s="4">
        <f>SUM(Working!$P$11:$P$23)</f>
        <v>15096846.010416664</v>
      </c>
      <c r="D11" s="4">
        <f>SUM(Working!$Q$11:$Q$23)</f>
        <v>2392795.0755669018</v>
      </c>
      <c r="E11" s="4">
        <f>B11-C11-D11</f>
        <v>4.6566128730773926E-9</v>
      </c>
    </row>
    <row r="12" spans="1:5">
      <c r="A12" s="4" t="s">
        <v>36</v>
      </c>
      <c r="B12" s="4">
        <f>SUM(Working!$O$24:$O$35)</f>
        <v>24492112.803381473</v>
      </c>
      <c r="C12" s="4">
        <f>SUM(Working!$P$24:$P$35)</f>
        <v>20105555.757916663</v>
      </c>
      <c r="D12" s="4">
        <f>SUM(Working!$Q$24:$Q$35)</f>
        <v>4386557.0454648091</v>
      </c>
      <c r="E12" s="4">
        <f t="shared" ref="E12:E15" si="0">B12-C12-D12</f>
        <v>0</v>
      </c>
    </row>
    <row r="13" spans="1:5">
      <c r="A13" s="4" t="s">
        <v>37</v>
      </c>
      <c r="B13" s="4">
        <f>SUM(Working!$O$36:$O$47)</f>
        <v>17072997.441775143</v>
      </c>
      <c r="C13" s="4">
        <f>SUM(Working!$P$36:$P$47)</f>
        <v>13838889.247916665</v>
      </c>
      <c r="D13" s="4">
        <f>SUM(Working!$Q$36:$Q$47)</f>
        <v>3234108.1938584745</v>
      </c>
      <c r="E13" s="4">
        <f t="shared" si="0"/>
        <v>3.7252902984619141E-9</v>
      </c>
    </row>
    <row r="14" spans="1:5">
      <c r="A14" s="4" t="s">
        <v>38</v>
      </c>
      <c r="B14" s="4">
        <f>SUM(Working!$O$48:$O$59)</f>
        <v>9468440.5726431366</v>
      </c>
      <c r="C14" s="4">
        <f>SUM(Working!$P$48:$P$59)</f>
        <v>7572083.5787499994</v>
      </c>
      <c r="D14" s="4">
        <f>SUM(Working!$Q$48:$Q$59)</f>
        <v>1896356.993893136</v>
      </c>
      <c r="E14" s="4">
        <f t="shared" si="0"/>
        <v>0</v>
      </c>
    </row>
    <row r="15" spans="1:5">
      <c r="A15" s="4" t="s">
        <v>39</v>
      </c>
      <c r="B15" s="4">
        <f>SUM(Working!$O$60:$O$66)</f>
        <v>1982764.2147804762</v>
      </c>
      <c r="C15" s="4">
        <f>SUM(Working!$P$60:$P$66)</f>
        <v>1566502.5779166664</v>
      </c>
      <c r="D15" s="4">
        <f>SUM(Working!$Q$60:$Q$66)</f>
        <v>416261.63686380978</v>
      </c>
      <c r="E15" s="4">
        <f t="shared" si="0"/>
        <v>0</v>
      </c>
    </row>
    <row r="17" spans="1:5">
      <c r="A17" s="7" t="s">
        <v>49</v>
      </c>
    </row>
    <row r="18" spans="1:5">
      <c r="A18" s="11" t="s">
        <v>47</v>
      </c>
      <c r="B18" s="12" t="s">
        <v>11</v>
      </c>
      <c r="C18" s="13" t="s">
        <v>44</v>
      </c>
      <c r="D18" s="14" t="s">
        <v>45</v>
      </c>
      <c r="E18" s="14" t="s">
        <v>46</v>
      </c>
    </row>
    <row r="19" spans="1:5">
      <c r="A19" s="5">
        <v>1</v>
      </c>
      <c r="B19" s="6">
        <v>42094</v>
      </c>
      <c r="C19" s="5">
        <f>Working!S23</f>
        <v>190066717.12991995</v>
      </c>
      <c r="D19" s="5">
        <f>C19-E19</f>
        <v>48946774.954535127</v>
      </c>
      <c r="E19" s="5">
        <f>C20</f>
        <v>141119942.17538482</v>
      </c>
    </row>
    <row r="20" spans="1:5">
      <c r="A20" s="5">
        <v>2</v>
      </c>
      <c r="B20" s="6">
        <v>42460</v>
      </c>
      <c r="C20" s="5">
        <f>Working!S35</f>
        <v>141119942.17538482</v>
      </c>
      <c r="D20" s="5">
        <f t="shared" ref="D20:D22" si="1">C20-E20</f>
        <v>50099223.80614154</v>
      </c>
      <c r="E20" s="5">
        <f>C21</f>
        <v>91020718.369243279</v>
      </c>
    </row>
    <row r="21" spans="1:5">
      <c r="A21" s="5">
        <v>3</v>
      </c>
      <c r="B21" s="6">
        <v>42825</v>
      </c>
      <c r="C21" s="5">
        <f>Working!S47</f>
        <v>91020718.369243279</v>
      </c>
      <c r="D21" s="5">
        <f t="shared" si="1"/>
        <v>51438267.006106868</v>
      </c>
      <c r="E21" s="5">
        <f>C22</f>
        <v>39582451.363136411</v>
      </c>
    </row>
    <row r="22" spans="1:5">
      <c r="A22" s="5">
        <v>4</v>
      </c>
      <c r="B22" s="6">
        <v>43190</v>
      </c>
      <c r="C22" s="5">
        <f>Working!S59</f>
        <v>39582451.363136411</v>
      </c>
      <c r="D22" s="5">
        <f t="shared" si="1"/>
        <v>39582451.363136411</v>
      </c>
      <c r="E22" s="5">
        <v>0</v>
      </c>
    </row>
  </sheetData>
  <sheetProtection algorithmName="SHA-512" hashValue="isvm+VvjJBSqIe9wNXpMJ5/ZLR5YmhFYEOaN3gZ0Ih2SSVBWFdAT+r1LYc3nUNAUlyOivtujdqpe8CqTkC0IBQ==" saltValue="f+sZe3TuIUpsnBrn8z2jH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showGridLines="0" tabSelected="1" view="pageBreakPreview" zoomScaleSheetLayoutView="100" workbookViewId="0">
      <pane ySplit="2" topLeftCell="A10" activePane="bottomLeft" state="frozen"/>
      <selection pane="bottomLeft"/>
    </sheetView>
  </sheetViews>
  <sheetFormatPr defaultRowHeight="15"/>
  <cols>
    <col min="1" max="1" width="10.7109375" style="3" bestFit="1" customWidth="1"/>
    <col min="2" max="2" width="15.42578125" customWidth="1"/>
    <col min="3" max="3" width="16.85546875" bestFit="1" customWidth="1"/>
    <col min="4" max="4" width="13.7109375" style="2" bestFit="1" customWidth="1"/>
    <col min="5" max="5" width="15.28515625" style="2" customWidth="1"/>
    <col min="6" max="7" width="11" bestFit="1" customWidth="1"/>
    <col min="8" max="8" width="13.140625" bestFit="1" customWidth="1"/>
    <col min="9" max="9" width="11" bestFit="1" customWidth="1"/>
    <col min="10" max="10" width="13.140625" bestFit="1" customWidth="1"/>
    <col min="11" max="11" width="11" bestFit="1" customWidth="1"/>
    <col min="12" max="12" width="13.140625" bestFit="1" customWidth="1"/>
    <col min="13" max="13" width="11" bestFit="1" customWidth="1"/>
    <col min="15" max="15" width="11" bestFit="1" customWidth="1"/>
  </cols>
  <sheetData>
    <row r="2" spans="1:6">
      <c r="A2" s="7" t="s">
        <v>58</v>
      </c>
    </row>
    <row r="4" spans="1:6">
      <c r="A4" s="3" t="s">
        <v>59</v>
      </c>
      <c r="E4" s="2">
        <f>SUM(Working!C11:C23)-SUM(Working!E15:E23)-1</f>
        <v>200000000</v>
      </c>
    </row>
    <row r="5" spans="1:6">
      <c r="A5" s="3" t="s">
        <v>60</v>
      </c>
      <c r="E5" s="2">
        <f>Working!D11+SUM(Working!F12:F23)</f>
        <v>17496846.010416664</v>
      </c>
    </row>
    <row r="10" spans="1:6">
      <c r="A10" s="7" t="s">
        <v>61</v>
      </c>
      <c r="F10" s="18" t="s">
        <v>63</v>
      </c>
    </row>
    <row r="11" spans="1:6">
      <c r="A11" s="3">
        <v>42095</v>
      </c>
      <c r="B11" t="s">
        <v>62</v>
      </c>
      <c r="C11" t="s">
        <v>31</v>
      </c>
      <c r="D11" s="2">
        <f>E4-'Impact on Financial Statement 1'!C19</f>
        <v>9933282.8700800538</v>
      </c>
      <c r="F11" t="s">
        <v>64</v>
      </c>
    </row>
    <row r="12" spans="1:6">
      <c r="B12" t="s">
        <v>33</v>
      </c>
      <c r="E12" s="2">
        <f>-'Impact on Financial Statement 1'!B11+'Impact on Financial Statement 2'!E5</f>
        <v>7204.924433093518</v>
      </c>
      <c r="F12" t="s">
        <v>65</v>
      </c>
    </row>
    <row r="13" spans="1:6">
      <c r="B13" t="s">
        <v>33</v>
      </c>
      <c r="E13" s="2">
        <f>D11-E12</f>
        <v>9926077.9456469603</v>
      </c>
      <c r="F13" t="s">
        <v>66</v>
      </c>
    </row>
    <row r="15" spans="1:6">
      <c r="A15" s="7" t="s">
        <v>48</v>
      </c>
    </row>
    <row r="16" spans="1:6" ht="45">
      <c r="A16" s="8" t="s">
        <v>43</v>
      </c>
      <c r="B16" s="9" t="s">
        <v>40</v>
      </c>
      <c r="C16" s="9" t="s">
        <v>41</v>
      </c>
      <c r="D16" s="9" t="s">
        <v>42</v>
      </c>
      <c r="E16" s="10" t="s">
        <v>7</v>
      </c>
    </row>
    <row r="17" spans="1:5">
      <c r="A17" s="4" t="s">
        <v>36</v>
      </c>
      <c r="B17" s="4">
        <f>SUM(Working!$O$24:$O$35)</f>
        <v>24492112.803381473</v>
      </c>
      <c r="C17" s="4">
        <f>SUM(Working!$P$24:$P$35)</f>
        <v>20105555.757916663</v>
      </c>
      <c r="D17" s="4">
        <f>SUM(Working!$Q$24:$Q$35)</f>
        <v>4386557.0454648091</v>
      </c>
      <c r="E17" s="4">
        <f t="shared" ref="E17:E20" si="0">B17-C17-D17</f>
        <v>0</v>
      </c>
    </row>
    <row r="18" spans="1:5">
      <c r="A18" s="4" t="s">
        <v>37</v>
      </c>
      <c r="B18" s="4">
        <f>SUM(Working!$O$36:$O$47)</f>
        <v>17072997.441775143</v>
      </c>
      <c r="C18" s="4">
        <f>SUM(Working!$P$36:$P$47)</f>
        <v>13838889.247916665</v>
      </c>
      <c r="D18" s="4">
        <f>SUM(Working!$Q$36:$Q$47)</f>
        <v>3234108.1938584745</v>
      </c>
      <c r="E18" s="4">
        <f t="shared" si="0"/>
        <v>3.7252902984619141E-9</v>
      </c>
    </row>
    <row r="19" spans="1:5">
      <c r="A19" s="4" t="s">
        <v>38</v>
      </c>
      <c r="B19" s="4">
        <f>SUM(Working!$O$48:$O$59)</f>
        <v>9468440.5726431366</v>
      </c>
      <c r="C19" s="4">
        <f>SUM(Working!$P$48:$P$59)</f>
        <v>7572083.5787499994</v>
      </c>
      <c r="D19" s="4">
        <f>SUM(Working!$Q$48:$Q$59)</f>
        <v>1896356.993893136</v>
      </c>
      <c r="E19" s="4">
        <f t="shared" si="0"/>
        <v>0</v>
      </c>
    </row>
    <row r="20" spans="1:5">
      <c r="A20" s="4" t="s">
        <v>39</v>
      </c>
      <c r="B20" s="4">
        <f>SUM(Working!$O$60:$O$66)</f>
        <v>1982764.2147804762</v>
      </c>
      <c r="C20" s="4">
        <f>SUM(Working!$P$60:$P$66)</f>
        <v>1566502.5779166664</v>
      </c>
      <c r="D20" s="4">
        <f>SUM(Working!$Q$60:$Q$66)</f>
        <v>416261.63686380978</v>
      </c>
      <c r="E20" s="4">
        <f t="shared" si="0"/>
        <v>0</v>
      </c>
    </row>
    <row r="22" spans="1:5">
      <c r="A22" s="7" t="s">
        <v>49</v>
      </c>
    </row>
    <row r="23" spans="1:5">
      <c r="A23" s="11" t="s">
        <v>47</v>
      </c>
      <c r="B23" s="12" t="s">
        <v>11</v>
      </c>
      <c r="C23" s="13" t="s">
        <v>44</v>
      </c>
      <c r="D23" s="14" t="s">
        <v>45</v>
      </c>
      <c r="E23" s="14" t="s">
        <v>46</v>
      </c>
    </row>
    <row r="24" spans="1:5">
      <c r="A24" s="5">
        <v>1</v>
      </c>
      <c r="B24" s="6">
        <v>42094</v>
      </c>
      <c r="C24" s="5">
        <f>E4-D11</f>
        <v>190066717.12991995</v>
      </c>
      <c r="D24" s="5">
        <f>C24-E24</f>
        <v>48946774.954535127</v>
      </c>
      <c r="E24" s="5">
        <f>C25</f>
        <v>141119942.17538482</v>
      </c>
    </row>
    <row r="25" spans="1:5">
      <c r="A25" s="5">
        <v>2</v>
      </c>
      <c r="B25" s="6">
        <v>42460</v>
      </c>
      <c r="C25" s="5">
        <f>Working!S35</f>
        <v>141119942.17538482</v>
      </c>
      <c r="D25" s="5">
        <f t="shared" ref="D25:D27" si="1">C25-E25</f>
        <v>50099223.80614154</v>
      </c>
      <c r="E25" s="5">
        <f>C26</f>
        <v>91020718.369243279</v>
      </c>
    </row>
    <row r="26" spans="1:5">
      <c r="A26" s="5">
        <v>3</v>
      </c>
      <c r="B26" s="6">
        <v>42825</v>
      </c>
      <c r="C26" s="5">
        <f>Working!S47</f>
        <v>91020718.369243279</v>
      </c>
      <c r="D26" s="5">
        <f t="shared" si="1"/>
        <v>51438267.006106868</v>
      </c>
      <c r="E26" s="5">
        <f>C27</f>
        <v>39582451.363136411</v>
      </c>
    </row>
    <row r="27" spans="1:5">
      <c r="A27" s="5">
        <v>4</v>
      </c>
      <c r="B27" s="6">
        <v>43190</v>
      </c>
      <c r="C27" s="5">
        <f>Working!S59</f>
        <v>39582451.363136411</v>
      </c>
      <c r="D27" s="5">
        <f t="shared" si="1"/>
        <v>39582451.363136411</v>
      </c>
      <c r="E27" s="5">
        <v>0</v>
      </c>
    </row>
  </sheetData>
  <sheetProtection algorithmName="SHA-512" hashValue="/ZV9Spgs/+z1qHlsLvDCT6LS+ZghDHAkDpqJlzUQ2PvsVe9hm95+Xn9Cts0JwckuxSlfoQPYc7IYkpzaq2putQ==" saltValue="Gni25wooShpHW8sP2H6NH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Case Study</vt:lpstr>
      <vt:lpstr>Working</vt:lpstr>
      <vt:lpstr>Impact on Financial Statement 1</vt:lpstr>
      <vt:lpstr>Impact on Financial Statement 2</vt:lpstr>
      <vt:lpstr>'Case Study'!Print_Area</vt:lpstr>
      <vt:lpstr>'Impact on Financial Statement 2'!Print_Area</vt:lpstr>
      <vt:lpstr>Rate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2016-02-12T08:10:24Z</dcterms:modified>
</cp:coreProperties>
</file>