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945" windowWidth="14805" windowHeight="7170" tabRatio="953"/>
  </bookViews>
  <sheets>
    <sheet name="Cash Entry" sheetId="8" r:id="rId1"/>
    <sheet name="CashSummary" sheetId="9" r:id="rId2"/>
  </sheets>
  <calcPr calcId="144525"/>
</workbook>
</file>

<file path=xl/calcChain.xml><?xml version="1.0" encoding="utf-8"?>
<calcChain xmlns="http://schemas.openxmlformats.org/spreadsheetml/2006/main">
  <c r="L40" i="8" l="1"/>
  <c r="H14" i="9"/>
  <c r="H13" i="9"/>
  <c r="L43" i="8" l="1"/>
  <c r="L42" i="8"/>
  <c r="L41" i="8" l="1"/>
  <c r="L39" i="8"/>
  <c r="L38" i="8" l="1"/>
  <c r="L37" i="8" l="1"/>
  <c r="L36" i="8"/>
  <c r="L35" i="8"/>
  <c r="L30" i="8" l="1"/>
  <c r="H12" i="9"/>
  <c r="H11" i="9"/>
  <c r="H10" i="9"/>
  <c r="L32" i="8"/>
  <c r="L33" i="8"/>
  <c r="L34" i="8"/>
  <c r="L31" i="8" l="1"/>
  <c r="L29" i="8" l="1"/>
  <c r="L28" i="8" l="1"/>
  <c r="L27" i="8" l="1"/>
  <c r="L26" i="8" l="1"/>
  <c r="L25" i="8"/>
  <c r="L24" i="8"/>
  <c r="L21" i="8"/>
  <c r="H9" i="9"/>
  <c r="L23" i="8"/>
  <c r="H8" i="9"/>
  <c r="L14" i="8"/>
  <c r="H7" i="9"/>
  <c r="H6" i="9"/>
  <c r="L22" i="8"/>
  <c r="H20" i="8"/>
  <c r="E20" i="8"/>
  <c r="D20" i="8"/>
  <c r="C20" i="8"/>
  <c r="L20" i="8" l="1"/>
  <c r="L19" i="8" l="1"/>
  <c r="L18" i="8" l="1"/>
  <c r="L17" i="8" l="1"/>
  <c r="L16" i="8"/>
  <c r="L15" i="8" l="1"/>
  <c r="L13" i="8" l="1"/>
  <c r="L12" i="8" l="1"/>
  <c r="L11" i="8" l="1"/>
  <c r="L10" i="8" l="1"/>
  <c r="L9" i="8" l="1"/>
  <c r="H5" i="9" l="1"/>
  <c r="L8" i="8" l="1"/>
  <c r="L7" i="8" l="1"/>
  <c r="C2" i="8" l="1"/>
  <c r="K2" i="8"/>
  <c r="J2" i="8"/>
  <c r="I2" i="8"/>
  <c r="H2" i="8"/>
  <c r="G2" i="8"/>
  <c r="F2" i="8"/>
  <c r="E2" i="8"/>
  <c r="D2" i="8"/>
  <c r="L6" i="8"/>
  <c r="L5" i="8"/>
  <c r="L4" i="8"/>
  <c r="B14" i="9" l="1"/>
  <c r="C14" i="9"/>
  <c r="D14" i="9"/>
  <c r="E14" i="9"/>
  <c r="C13" i="9"/>
  <c r="B11" i="9"/>
  <c r="B12" i="9"/>
  <c r="B13" i="9"/>
  <c r="C11" i="9"/>
  <c r="C12" i="9"/>
  <c r="D11" i="9"/>
  <c r="D12" i="9"/>
  <c r="D13" i="9"/>
  <c r="E11" i="9"/>
  <c r="E12" i="9"/>
  <c r="E13" i="9"/>
  <c r="D10" i="9"/>
  <c r="C10" i="9"/>
  <c r="E10" i="9"/>
  <c r="B10" i="9"/>
  <c r="C9" i="9"/>
  <c r="E9" i="9"/>
  <c r="D9" i="9"/>
  <c r="B9" i="9"/>
  <c r="B8" i="9"/>
  <c r="D8" i="9"/>
  <c r="C8" i="9"/>
  <c r="E8" i="9"/>
  <c r="C5" i="9"/>
  <c r="C7" i="9"/>
  <c r="D6" i="9"/>
  <c r="E5" i="9"/>
  <c r="E7" i="9"/>
  <c r="C6" i="9"/>
  <c r="D5" i="9"/>
  <c r="D7" i="9"/>
  <c r="E6" i="9"/>
  <c r="B7" i="9"/>
  <c r="B5" i="9"/>
  <c r="B6" i="9"/>
  <c r="L2" i="8"/>
  <c r="B3" i="9" l="1"/>
  <c r="C3" i="9" s="1"/>
  <c r="D3" i="9"/>
  <c r="E3" i="9"/>
  <c r="F5" i="9"/>
  <c r="F6" i="9" s="1"/>
  <c r="F7" i="9" s="1"/>
  <c r="F8" i="9" l="1"/>
  <c r="F9" i="9" s="1"/>
  <c r="F10" i="9" s="1"/>
  <c r="I7" i="9"/>
  <c r="I6" i="9"/>
  <c r="I5" i="9"/>
  <c r="I10" i="9" l="1"/>
  <c r="F11" i="9"/>
  <c r="I8" i="9"/>
  <c r="I11" i="9" l="1"/>
  <c r="F12" i="9"/>
  <c r="I9" i="9"/>
  <c r="I12" i="9" l="1"/>
  <c r="F13" i="9"/>
  <c r="F14" i="9" s="1"/>
  <c r="F3" i="9" s="1"/>
  <c r="I14" i="9" l="1"/>
  <c r="I13" i="9"/>
</calcChain>
</file>

<file path=xl/sharedStrings.xml><?xml version="1.0" encoding="utf-8"?>
<sst xmlns="http://schemas.openxmlformats.org/spreadsheetml/2006/main" count="65" uniqueCount="23">
  <si>
    <t>Petty Cash</t>
  </si>
  <si>
    <t>Date</t>
  </si>
  <si>
    <t>Transaction</t>
  </si>
  <si>
    <t>Receipt</t>
  </si>
  <si>
    <t>Total</t>
  </si>
  <si>
    <t>Bank Deposite</t>
  </si>
  <si>
    <t>Total Physical Cash [A]</t>
  </si>
  <si>
    <t>Balance of Main Cash in Tally [B]</t>
  </si>
  <si>
    <t>Balance of Petty Cash in Tally [C]</t>
  </si>
  <si>
    <t>Difference in Cash
[A-[B+C]]</t>
  </si>
  <si>
    <t>Total of Notes</t>
  </si>
  <si>
    <t>Datewise Summary:</t>
  </si>
  <si>
    <t>Entries of Cash In &amp; Out:</t>
  </si>
  <si>
    <t>Notes
of
1000</t>
  </si>
  <si>
    <t>Notes
of
500</t>
  </si>
  <si>
    <t>Notes
of
100</t>
  </si>
  <si>
    <t>Notes
of
50</t>
  </si>
  <si>
    <t>Notes
of
20</t>
  </si>
  <si>
    <t>Notes-coins
10</t>
  </si>
  <si>
    <t>Notes-coins
5</t>
  </si>
  <si>
    <t>Coins
of
2</t>
  </si>
  <si>
    <t>Coins
of
1</t>
  </si>
  <si>
    <t>Petty Cash (StaleNote)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</si>
</sst>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\ ##\ ##0"/>
    <numFmt numFmtId="165" formatCode="##\ ##\ ###"/>
    <numFmt numFmtId="166" formatCode="##\ ##\ ##\ ##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/>
    <xf numFmtId="14" fontId="0" fillId="0" borderId="10" xfId="0" applyNumberFormat="1" applyBorder="1"/>
    <xf numFmtId="14" fontId="0" fillId="0" borderId="7" xfId="0" applyNumberFormat="1" applyBorder="1"/>
    <xf numFmtId="0" fontId="2" fillId="0" borderId="14" xfId="0" applyFont="1" applyBorder="1" applyAlignment="1">
      <alignment vertical="center" wrapText="1"/>
    </xf>
    <xf numFmtId="166" fontId="0" fillId="0" borderId="0" xfId="0" applyNumberFormat="1"/>
    <xf numFmtId="166" fontId="2" fillId="0" borderId="12" xfId="0" applyNumberFormat="1" applyFont="1" applyBorder="1" applyAlignment="1">
      <alignment vertical="center" wrapText="1"/>
    </xf>
    <xf numFmtId="166" fontId="2" fillId="0" borderId="13" xfId="0" applyNumberFormat="1" applyFont="1" applyBorder="1" applyAlignment="1">
      <alignment vertical="center" wrapText="1"/>
    </xf>
    <xf numFmtId="166" fontId="2" fillId="0" borderId="14" xfId="0" applyNumberFormat="1" applyFont="1" applyBorder="1" applyAlignment="1">
      <alignment vertical="center" wrapText="1"/>
    </xf>
    <xf numFmtId="166" fontId="2" fillId="0" borderId="4" xfId="0" applyNumberFormat="1" applyFont="1" applyBorder="1" applyAlignment="1">
      <alignment vertical="center" wrapText="1"/>
    </xf>
    <xf numFmtId="166" fontId="0" fillId="0" borderId="9" xfId="0" applyNumberFormat="1" applyBorder="1"/>
    <xf numFmtId="166" fontId="0" fillId="0" borderId="8" xfId="0" applyNumberFormat="1" applyBorder="1"/>
    <xf numFmtId="166" fontId="0" fillId="0" borderId="10" xfId="0" applyNumberFormat="1" applyBorder="1"/>
    <xf numFmtId="166" fontId="2" fillId="0" borderId="6" xfId="0" applyNumberFormat="1" applyFont="1" applyBorder="1"/>
    <xf numFmtId="166" fontId="0" fillId="0" borderId="11" xfId="0" applyNumberFormat="1" applyBorder="1"/>
    <xf numFmtId="166" fontId="0" fillId="0" borderId="0" xfId="0" applyNumberFormat="1" applyBorder="1"/>
    <xf numFmtId="166" fontId="0" fillId="0" borderId="7" xfId="0" applyNumberFormat="1" applyBorder="1"/>
    <xf numFmtId="166" fontId="2" fillId="0" borderId="15" xfId="0" applyNumberFormat="1" applyFont="1" applyBorder="1"/>
    <xf numFmtId="166" fontId="2" fillId="0" borderId="0" xfId="0" applyNumberFormat="1" applyFont="1"/>
    <xf numFmtId="0" fontId="4" fillId="0" borderId="1" xfId="0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166" fontId="4" fillId="0" borderId="3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5" xfId="0" applyBorder="1" applyProtection="1">
      <protection locked="0"/>
    </xf>
    <xf numFmtId="0" fontId="4" fillId="0" borderId="5" xfId="0" applyFont="1" applyBorder="1" applyProtection="1">
      <protection locked="0"/>
    </xf>
    <xf numFmtId="0" fontId="3" fillId="0" borderId="5" xfId="0" applyFont="1" applyBorder="1" applyProtection="1">
      <protection locked="0"/>
    </xf>
    <xf numFmtId="165" fontId="4" fillId="0" borderId="5" xfId="0" applyNumberFormat="1" applyFont="1" applyBorder="1" applyProtection="1">
      <protection locked="0"/>
    </xf>
    <xf numFmtId="0" fontId="0" fillId="0" borderId="0" xfId="0" applyFont="1" applyBorder="1" applyAlignment="1" applyProtection="1">
      <alignment wrapText="1"/>
    </xf>
    <xf numFmtId="165" fontId="0" fillId="0" borderId="0" xfId="0" applyNumberFormat="1" applyFont="1" applyBorder="1" applyAlignment="1" applyProtection="1">
      <alignment wrapText="1"/>
    </xf>
    <xf numFmtId="14" fontId="0" fillId="0" borderId="0" xfId="0" applyNumberFormat="1" applyFont="1" applyBorder="1" applyProtection="1"/>
    <xf numFmtId="0" fontId="0" fillId="0" borderId="0" xfId="0" applyFont="1" applyBorder="1" applyProtection="1"/>
    <xf numFmtId="165" fontId="2" fillId="0" borderId="0" xfId="0" applyNumberFormat="1" applyFont="1" applyBorder="1" applyProtection="1"/>
    <xf numFmtId="14" fontId="0" fillId="0" borderId="0" xfId="0" applyNumberFormat="1" applyProtection="1"/>
    <xf numFmtId="0" fontId="0" fillId="0" borderId="0" xfId="0" applyProtection="1"/>
    <xf numFmtId="165" fontId="2" fillId="0" borderId="0" xfId="0" applyNumberFormat="1" applyFont="1" applyProtection="1"/>
    <xf numFmtId="0" fontId="2" fillId="0" borderId="0" xfId="0" applyFont="1" applyProtection="1"/>
    <xf numFmtId="0" fontId="0" fillId="0" borderId="0" xfId="0" applyFill="1" applyProtection="1">
      <protection locked="0"/>
    </xf>
  </cellXfs>
  <cellStyles count="1">
    <cellStyle name="Normal" xfId="0" builtinId="0"/>
  </cellStyles>
  <dxfs count="29">
    <dxf>
      <font>
        <b/>
      </font>
      <numFmt numFmtId="165" formatCode="##\ ##\ ###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##\ ##\ ##\ 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6" formatCode="##\ ##\ ##\ ##0"/>
    </dxf>
    <dxf>
      <numFmt numFmtId="166" formatCode="##\ ##\ ##\ 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6" formatCode="##\ ##\ ##\ ##0"/>
    </dxf>
    <dxf>
      <numFmt numFmtId="166" formatCode="##\ ##\ ##\ 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166" formatCode="##\ ##\ ##\ ##0"/>
    </dxf>
    <dxf>
      <numFmt numFmtId="166" formatCode="##\ ##\ ##\ ##0"/>
    </dxf>
    <dxf>
      <numFmt numFmtId="166" formatCode="##\ ##\ ##\ 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7" formatCode="dd/mm/yy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border>
        <left style="thin">
          <color auto="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auto="1"/>
        </vertical>
        <horizontal style="thin">
          <color theme="0" tint="-0.14996795556505021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dotted">
          <color auto="1"/>
        </vertical>
        <horizontal/>
      </border>
    </dxf>
    <dxf>
      <fill>
        <patternFill>
          <bgColor theme="0" tint="-4.9989318521683403E-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dotted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2" defaultPivotStyle="PivotStyleMedium9">
    <tableStyle name="Table Style 1" pivot="0" count="3">
      <tableStyleElement type="wholeTable" dxfId="28"/>
      <tableStyleElement type="headerRow" dxfId="27"/>
      <tableStyleElement type="firstColumn" dxfId="26"/>
    </tableStyle>
  </tableStyles>
  <colors>
    <mruColors>
      <color rgb="FFFFFFCC"/>
      <color rgb="FFF9F9F9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A3:L43" totalsRowShown="0" headerRowDxfId="13" dataDxfId="12">
  <autoFilter ref="A3:L43"/>
  <tableColumns count="12">
    <tableColumn id="1" name="Date" dataDxfId="11"/>
    <tableColumn id="2" name="Transaction" dataDxfId="10"/>
    <tableColumn id="3" name="Notes_x000a_of_x000a_1000" dataDxfId="9"/>
    <tableColumn id="4" name="Notes_x000a_of_x000a_500" dataDxfId="8"/>
    <tableColumn id="5" name="Notes_x000a_of_x000a_100" dataDxfId="7"/>
    <tableColumn id="6" name="Notes_x000a_of_x000a_50" dataDxfId="6"/>
    <tableColumn id="7" name="Notes_x000a_of_x000a_20" dataDxfId="5"/>
    <tableColumn id="8" name="Notes-coins_x000a_10" dataDxfId="4"/>
    <tableColumn id="9" name="Notes-coins_x000a_5" dataDxfId="3"/>
    <tableColumn id="10" name="Coins_x000a_of_x000a_2" dataDxfId="2"/>
    <tableColumn id="11" name="Coins_x000a_of_x000a_1" dataDxfId="1"/>
    <tableColumn id="12" name="Total" dataDxfId="0">
      <calculatedColumnFormula>(C4*1000)+(D4*500)+(E4*100)+(F4*50)+(G4*20)+(H4*10)+(I4*5)+(J4*2)+(K4*1)</calculatedColumnFormula>
    </tableColumn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id="8" name="Table8" displayName="Table8" ref="A4:I14" totalsRowShown="0" headerRowDxfId="25" headerRowBorderDxfId="24" tableBorderDxfId="23">
  <autoFilter ref="A4:I14"/>
  <tableColumns count="9">
    <tableColumn id="1" name="Date" dataDxfId="22"/>
    <tableColumn id="2" name="Bank Deposite" dataDxfId="21">
      <calculatedColumnFormula>SUMPRODUCT((Table3[Date]=CashSummary!A5)*(Table3[Transaction]=CashSummary!$B$4)*(Table3[Total]))</calculatedColumnFormula>
    </tableColumn>
    <tableColumn id="3" name="Receipt" dataDxfId="20">
      <calculatedColumnFormula>SUMPRODUCT((Table3[Date]=CashSummary!A5)*(Table3[Transaction]=CashSummary!$C$4)*(Table3[Total]))</calculatedColumnFormula>
    </tableColumn>
    <tableColumn id="4" name="Petty Cash" dataDxfId="19">
      <calculatedColumnFormula>SUMPRODUCT((Table3[Date]=CashSummary!A5)*(Table3[Transaction]=CashSummary!$D$4)*(Table3[Total]))</calculatedColumnFormula>
    </tableColumn>
    <tableColumn id="5" name="Petty Cash (StaleNote)" dataDxfId="18">
      <calculatedColumnFormula>SUMPRODUCT((Table3[Date]=CashSummary!A5)*(Table3[Transaction]=CashSummary!$E$4)*(Table3[Total]))</calculatedColumnFormula>
    </tableColumn>
    <tableColumn id="6" name="Total Physical Cash [A]" dataDxfId="17">
      <calculatedColumnFormula>SUM(CashSummary!$B5:$E5)</calculatedColumnFormula>
    </tableColumn>
    <tableColumn id="7" name="Balance of Main Cash in Tally [B]" dataDxfId="16"/>
    <tableColumn id="8" name="Balance of Petty Cash in Tally [C]" dataDxfId="15"/>
    <tableColumn id="9" name="Difference in Cash_x000a_[A-[B+C]]" dataDxfId="14">
      <calculatedColumnFormula>F5-(G5+H5)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CC"/>
  </sheetPr>
  <dimension ref="A1:N43"/>
  <sheetViews>
    <sheetView tabSelected="1" workbookViewId="0">
      <pane ySplit="3" topLeftCell="A26" activePane="bottomLeft" state="frozen"/>
      <selection pane="bottomLeft"/>
    </sheetView>
  </sheetViews>
  <sheetFormatPr defaultRowHeight="15" x14ac:dyDescent="0.25"/>
  <cols>
    <col min="1" max="1" width="10.42578125" style="27" bestFit="1" customWidth="1"/>
    <col min="2" max="2" width="16.85546875" style="27" bestFit="1" customWidth="1"/>
    <col min="3" max="6" width="9.140625" style="27"/>
    <col min="7" max="7" width="12" style="27" bestFit="1" customWidth="1"/>
    <col min="8" max="11" width="9.140625" style="27"/>
    <col min="12" max="12" width="9.140625" style="29"/>
    <col min="13" max="13" width="9.140625" style="27" customWidth="1"/>
    <col min="14" max="16384" width="9.140625" style="27"/>
  </cols>
  <sheetData>
    <row r="1" spans="1:14" ht="18.75" x14ac:dyDescent="0.3">
      <c r="A1" s="26" t="s">
        <v>12</v>
      </c>
      <c r="C1" s="28"/>
      <c r="D1" s="28"/>
      <c r="E1" s="28"/>
      <c r="F1" s="28"/>
      <c r="H1" s="28"/>
      <c r="I1" s="28"/>
      <c r="J1" s="28"/>
      <c r="K1" s="28"/>
    </row>
    <row r="2" spans="1:14" x14ac:dyDescent="0.25">
      <c r="A2" s="30"/>
      <c r="B2" s="31" t="s">
        <v>10</v>
      </c>
      <c r="C2" s="32">
        <f>SUBTOTAL(9,Table3[Notes
of
1000])</f>
        <v>71</v>
      </c>
      <c r="D2" s="32">
        <f>SUBTOTAL(9,Table3[Notes
of
500])</f>
        <v>25</v>
      </c>
      <c r="E2" s="32">
        <f>SUBTOTAL(9,Table3[Notes
of
100])</f>
        <v>398</v>
      </c>
      <c r="F2" s="32">
        <f>SUBTOTAL(9,Table3[Notes
of
50])</f>
        <v>31</v>
      </c>
      <c r="G2" s="32">
        <f>SUBTOTAL(9,Table3[Notes
of
20])</f>
        <v>1</v>
      </c>
      <c r="H2" s="32">
        <f>SUBTOTAL(9,Table3[Notes-coins
10])</f>
        <v>133</v>
      </c>
      <c r="I2" s="32">
        <f>SUBTOTAL(9,Table3[Notes-coins
5])</f>
        <v>38</v>
      </c>
      <c r="J2" s="32">
        <f>SUBTOTAL(9,Table3[Coins
of
2])</f>
        <v>241</v>
      </c>
      <c r="K2" s="32">
        <f>SUBTOTAL(9,Table3[Coins
of
1])</f>
        <v>1</v>
      </c>
      <c r="L2" s="33">
        <f>SUBTOTAL(9,Table3[Total])</f>
        <v>126873</v>
      </c>
    </row>
    <row r="3" spans="1:14" ht="45" x14ac:dyDescent="0.25">
      <c r="A3" s="34" t="s">
        <v>1</v>
      </c>
      <c r="B3" s="34" t="s">
        <v>2</v>
      </c>
      <c r="C3" s="34" t="s">
        <v>13</v>
      </c>
      <c r="D3" s="34" t="s">
        <v>14</v>
      </c>
      <c r="E3" s="34" t="s">
        <v>15</v>
      </c>
      <c r="F3" s="34" t="s">
        <v>16</v>
      </c>
      <c r="G3" s="34" t="s">
        <v>17</v>
      </c>
      <c r="H3" s="34" t="s">
        <v>18</v>
      </c>
      <c r="I3" s="34" t="s">
        <v>19</v>
      </c>
      <c r="J3" s="34" t="s">
        <v>20</v>
      </c>
      <c r="K3" s="34" t="s">
        <v>21</v>
      </c>
      <c r="L3" s="35" t="s">
        <v>4</v>
      </c>
    </row>
    <row r="4" spans="1:14" x14ac:dyDescent="0.25">
      <c r="A4" s="36">
        <v>41918</v>
      </c>
      <c r="B4" s="37" t="s">
        <v>22</v>
      </c>
      <c r="C4" s="37"/>
      <c r="D4" s="37">
        <v>2</v>
      </c>
      <c r="E4" s="37">
        <v>1</v>
      </c>
      <c r="F4" s="37"/>
      <c r="G4" s="37"/>
      <c r="H4" s="37"/>
      <c r="I4" s="37"/>
      <c r="J4" s="37"/>
      <c r="K4" s="37"/>
      <c r="L4" s="38">
        <f t="shared" ref="L4:L9" si="0">(C4*1000)+(D4*500)+(E4*100)+(F4*50)+(G4*20)+(H4*10)+(I4*5)+(J4*2)+(K4*1)</f>
        <v>1100</v>
      </c>
    </row>
    <row r="5" spans="1:14" x14ac:dyDescent="0.25">
      <c r="A5" s="36">
        <v>41918</v>
      </c>
      <c r="B5" s="37" t="s">
        <v>3</v>
      </c>
      <c r="C5" s="37">
        <v>16</v>
      </c>
      <c r="D5" s="37">
        <v>231</v>
      </c>
      <c r="E5" s="37">
        <v>17</v>
      </c>
      <c r="F5" s="37">
        <v>36</v>
      </c>
      <c r="G5" s="37">
        <v>0</v>
      </c>
      <c r="H5" s="37">
        <v>61</v>
      </c>
      <c r="I5" s="37">
        <v>39</v>
      </c>
      <c r="J5" s="37">
        <v>44</v>
      </c>
      <c r="K5" s="37">
        <v>1</v>
      </c>
      <c r="L5" s="38">
        <f t="shared" si="0"/>
        <v>135894</v>
      </c>
    </row>
    <row r="6" spans="1:14" x14ac:dyDescent="0.25">
      <c r="A6" s="36">
        <v>41918</v>
      </c>
      <c r="B6" s="37" t="s">
        <v>0</v>
      </c>
      <c r="C6" s="37">
        <v>22</v>
      </c>
      <c r="D6" s="37">
        <v>1</v>
      </c>
      <c r="E6" s="37">
        <v>118</v>
      </c>
      <c r="F6" s="37"/>
      <c r="G6" s="37">
        <v>1</v>
      </c>
      <c r="H6" s="37">
        <v>4</v>
      </c>
      <c r="I6" s="37">
        <v>1</v>
      </c>
      <c r="J6" s="37">
        <v>200</v>
      </c>
      <c r="K6" s="37"/>
      <c r="L6" s="38">
        <f t="shared" si="0"/>
        <v>34765</v>
      </c>
    </row>
    <row r="7" spans="1:14" x14ac:dyDescent="0.25">
      <c r="A7" s="36">
        <v>41919</v>
      </c>
      <c r="B7" s="37" t="s">
        <v>0</v>
      </c>
      <c r="C7" s="37"/>
      <c r="D7" s="37">
        <v>-2</v>
      </c>
      <c r="E7" s="37"/>
      <c r="F7" s="37"/>
      <c r="G7" s="37"/>
      <c r="H7" s="37">
        <v>-1</v>
      </c>
      <c r="I7" s="37">
        <v>-1</v>
      </c>
      <c r="J7" s="37"/>
      <c r="K7" s="37"/>
      <c r="L7" s="38">
        <f t="shared" si="0"/>
        <v>-1015</v>
      </c>
    </row>
    <row r="8" spans="1:14" x14ac:dyDescent="0.25">
      <c r="A8" s="39">
        <v>41919</v>
      </c>
      <c r="B8" s="37" t="s">
        <v>0</v>
      </c>
      <c r="C8" s="40"/>
      <c r="D8" s="40"/>
      <c r="E8" s="40">
        <v>-2</v>
      </c>
      <c r="F8" s="40"/>
      <c r="G8" s="40"/>
      <c r="H8" s="40"/>
      <c r="I8" s="40"/>
      <c r="J8" s="40"/>
      <c r="K8" s="40"/>
      <c r="L8" s="41">
        <f t="shared" si="0"/>
        <v>-200</v>
      </c>
    </row>
    <row r="9" spans="1:14" x14ac:dyDescent="0.25">
      <c r="A9" s="39">
        <v>41919</v>
      </c>
      <c r="B9" s="37" t="s">
        <v>0</v>
      </c>
      <c r="C9" s="40"/>
      <c r="D9" s="40">
        <v>-7</v>
      </c>
      <c r="E9" s="40">
        <v>-7</v>
      </c>
      <c r="F9" s="40"/>
      <c r="G9" s="40"/>
      <c r="H9" s="40"/>
      <c r="I9" s="40"/>
      <c r="J9" s="40"/>
      <c r="K9" s="40"/>
      <c r="L9" s="41">
        <f t="shared" si="0"/>
        <v>-4200</v>
      </c>
      <c r="N9" s="43"/>
    </row>
    <row r="10" spans="1:14" x14ac:dyDescent="0.25">
      <c r="A10" s="39">
        <v>41919</v>
      </c>
      <c r="B10" s="40" t="s">
        <v>3</v>
      </c>
      <c r="C10" s="40">
        <v>10</v>
      </c>
      <c r="D10" s="40">
        <v>70</v>
      </c>
      <c r="E10" s="42"/>
      <c r="F10" s="40"/>
      <c r="G10" s="40"/>
      <c r="H10" s="40"/>
      <c r="I10" s="40"/>
      <c r="J10" s="40"/>
      <c r="K10" s="40"/>
      <c r="L10" s="41">
        <f t="shared" ref="L10:L17" si="1">(C10*1000)+(D10*500)+(E10*100)+(F10*50)+(G10*20)+(H10*10)+(I10*5)+(J10*2)+(K10*1)</f>
        <v>45000</v>
      </c>
    </row>
    <row r="11" spans="1:14" x14ac:dyDescent="0.25">
      <c r="A11" s="39">
        <v>41919</v>
      </c>
      <c r="B11" s="40" t="s">
        <v>0</v>
      </c>
      <c r="C11" s="40"/>
      <c r="D11" s="40">
        <v>-18</v>
      </c>
      <c r="E11" s="40">
        <v>-4</v>
      </c>
      <c r="F11" s="40">
        <v>-1</v>
      </c>
      <c r="G11" s="40"/>
      <c r="H11" s="40"/>
      <c r="I11" s="40"/>
      <c r="J11" s="40"/>
      <c r="K11" s="40"/>
      <c r="L11" s="41">
        <f t="shared" si="1"/>
        <v>-9450</v>
      </c>
    </row>
    <row r="12" spans="1:14" x14ac:dyDescent="0.25">
      <c r="A12" s="39">
        <v>41919</v>
      </c>
      <c r="B12" s="40" t="s">
        <v>0</v>
      </c>
      <c r="C12" s="40">
        <v>-2</v>
      </c>
      <c r="D12" s="40">
        <v>-1</v>
      </c>
      <c r="E12" s="40"/>
      <c r="F12" s="40"/>
      <c r="G12" s="40"/>
      <c r="H12" s="40"/>
      <c r="I12" s="40"/>
      <c r="J12" s="40"/>
      <c r="K12" s="40"/>
      <c r="L12" s="41">
        <f t="shared" si="1"/>
        <v>-2500</v>
      </c>
    </row>
    <row r="13" spans="1:14" x14ac:dyDescent="0.25">
      <c r="A13" s="39">
        <v>41920</v>
      </c>
      <c r="B13" s="40" t="s">
        <v>0</v>
      </c>
      <c r="C13" s="40">
        <v>-1</v>
      </c>
      <c r="D13" s="40">
        <v>-1</v>
      </c>
      <c r="E13" s="40"/>
      <c r="F13" s="40"/>
      <c r="G13" s="40"/>
      <c r="H13" s="40"/>
      <c r="I13" s="40"/>
      <c r="J13" s="40"/>
      <c r="K13" s="40"/>
      <c r="L13" s="41">
        <f t="shared" si="1"/>
        <v>-1500</v>
      </c>
    </row>
    <row r="14" spans="1:14" x14ac:dyDescent="0.25">
      <c r="A14" s="39">
        <v>41920</v>
      </c>
      <c r="B14" s="40" t="s">
        <v>3</v>
      </c>
      <c r="C14" s="40"/>
      <c r="D14" s="40"/>
      <c r="E14" s="40">
        <v>2</v>
      </c>
      <c r="F14" s="40"/>
      <c r="G14" s="40"/>
      <c r="H14" s="40"/>
      <c r="I14" s="40"/>
      <c r="J14" s="40"/>
      <c r="K14" s="40"/>
      <c r="L14" s="41">
        <f>(C14*1000)+(D14*500)+(E14*100)+(F14*50)+(G14*20)+(H14*10)+(I14*5)+(J14*2)+(K14*1)</f>
        <v>200</v>
      </c>
    </row>
    <row r="15" spans="1:14" x14ac:dyDescent="0.25">
      <c r="A15" s="39">
        <v>41920</v>
      </c>
      <c r="B15" s="40" t="s">
        <v>0</v>
      </c>
      <c r="C15" s="40">
        <v>-1</v>
      </c>
      <c r="D15" s="40"/>
      <c r="E15" s="40"/>
      <c r="F15" s="40"/>
      <c r="G15" s="40"/>
      <c r="H15" s="40"/>
      <c r="I15" s="40"/>
      <c r="J15" s="40"/>
      <c r="K15" s="40"/>
      <c r="L15" s="41">
        <f t="shared" si="1"/>
        <v>-1000</v>
      </c>
    </row>
    <row r="16" spans="1:14" x14ac:dyDescent="0.25">
      <c r="A16" s="39">
        <v>41921</v>
      </c>
      <c r="B16" s="40" t="s">
        <v>0</v>
      </c>
      <c r="C16" s="40">
        <v>-1</v>
      </c>
      <c r="D16" s="40">
        <v>-2</v>
      </c>
      <c r="E16" s="40"/>
      <c r="F16" s="40"/>
      <c r="G16" s="40"/>
      <c r="H16" s="40"/>
      <c r="I16" s="40"/>
      <c r="J16" s="40"/>
      <c r="K16" s="40"/>
      <c r="L16" s="41">
        <f t="shared" si="1"/>
        <v>-2000</v>
      </c>
    </row>
    <row r="17" spans="1:12" x14ac:dyDescent="0.25">
      <c r="A17" s="39">
        <v>41921</v>
      </c>
      <c r="B17" s="40" t="s">
        <v>0</v>
      </c>
      <c r="C17" s="40"/>
      <c r="D17" s="40">
        <v>-1</v>
      </c>
      <c r="E17" s="40"/>
      <c r="F17" s="40"/>
      <c r="G17" s="40"/>
      <c r="H17" s="40"/>
      <c r="I17" s="40"/>
      <c r="J17" s="40"/>
      <c r="K17" s="40"/>
      <c r="L17" s="41">
        <f t="shared" si="1"/>
        <v>-500</v>
      </c>
    </row>
    <row r="18" spans="1:12" x14ac:dyDescent="0.25">
      <c r="A18" s="39">
        <v>41922</v>
      </c>
      <c r="B18" s="40" t="s">
        <v>0</v>
      </c>
      <c r="C18" s="40">
        <v>-1</v>
      </c>
      <c r="D18" s="40">
        <v>-2</v>
      </c>
      <c r="E18" s="40"/>
      <c r="F18" s="40"/>
      <c r="G18" s="40"/>
      <c r="H18" s="40"/>
      <c r="I18" s="40"/>
      <c r="J18" s="40"/>
      <c r="K18" s="40"/>
      <c r="L18" s="41">
        <f t="shared" ref="L18:L26" si="2">(C18*1000)+(D18*500)+(E18*100)+(F18*50)+(G18*20)+(H18*10)+(I18*5)+(J18*2)+(K18*1)</f>
        <v>-2000</v>
      </c>
    </row>
    <row r="19" spans="1:12" x14ac:dyDescent="0.25">
      <c r="A19" s="39">
        <v>41922</v>
      </c>
      <c r="B19" s="40" t="s">
        <v>0</v>
      </c>
      <c r="C19" s="40"/>
      <c r="D19" s="40">
        <v>-1</v>
      </c>
      <c r="E19" s="40"/>
      <c r="F19" s="40"/>
      <c r="G19" s="40"/>
      <c r="H19" s="40"/>
      <c r="I19" s="40"/>
      <c r="J19" s="40"/>
      <c r="K19" s="40"/>
      <c r="L19" s="41">
        <f t="shared" si="2"/>
        <v>-500</v>
      </c>
    </row>
    <row r="20" spans="1:12" x14ac:dyDescent="0.25">
      <c r="A20" s="39">
        <v>41922</v>
      </c>
      <c r="B20" s="40" t="s">
        <v>3</v>
      </c>
      <c r="C20" s="40">
        <f>82-29</f>
        <v>53</v>
      </c>
      <c r="D20" s="40">
        <f>736+8-1</f>
        <v>743</v>
      </c>
      <c r="E20" s="40">
        <f>150-1-3</f>
        <v>146</v>
      </c>
      <c r="F20" s="40"/>
      <c r="G20" s="40"/>
      <c r="H20" s="40">
        <f>100-1-4</f>
        <v>95</v>
      </c>
      <c r="I20" s="40"/>
      <c r="J20" s="40"/>
      <c r="K20" s="40"/>
      <c r="L20" s="41">
        <f t="shared" si="2"/>
        <v>440050</v>
      </c>
    </row>
    <row r="21" spans="1:12" x14ac:dyDescent="0.25">
      <c r="A21" s="39">
        <v>41922</v>
      </c>
      <c r="B21" s="40" t="s">
        <v>0</v>
      </c>
      <c r="C21" s="40"/>
      <c r="D21" s="40"/>
      <c r="E21" s="40"/>
      <c r="F21" s="40"/>
      <c r="G21" s="40"/>
      <c r="H21" s="40">
        <v>-2</v>
      </c>
      <c r="I21" s="40"/>
      <c r="J21" s="40"/>
      <c r="K21" s="40"/>
      <c r="L21" s="41">
        <f t="shared" si="2"/>
        <v>-20</v>
      </c>
    </row>
    <row r="22" spans="1:12" x14ac:dyDescent="0.25">
      <c r="A22" s="39">
        <v>41922</v>
      </c>
      <c r="B22" s="40" t="s">
        <v>0</v>
      </c>
      <c r="C22" s="40"/>
      <c r="D22" s="40"/>
      <c r="E22" s="40">
        <v>2</v>
      </c>
      <c r="F22" s="40"/>
      <c r="G22" s="40"/>
      <c r="H22" s="40"/>
      <c r="I22" s="40"/>
      <c r="J22" s="40"/>
      <c r="K22" s="40"/>
      <c r="L22" s="41">
        <f t="shared" si="2"/>
        <v>200</v>
      </c>
    </row>
    <row r="23" spans="1:12" x14ac:dyDescent="0.25">
      <c r="A23" s="39">
        <v>41922</v>
      </c>
      <c r="B23" s="40" t="s">
        <v>0</v>
      </c>
      <c r="C23" s="40">
        <v>-2</v>
      </c>
      <c r="D23" s="40">
        <v>-2</v>
      </c>
      <c r="E23" s="40">
        <v>-1</v>
      </c>
      <c r="F23" s="40">
        <v>-1</v>
      </c>
      <c r="G23" s="40"/>
      <c r="H23" s="40"/>
      <c r="I23" s="40"/>
      <c r="J23" s="40"/>
      <c r="K23" s="40"/>
      <c r="L23" s="41">
        <f t="shared" si="2"/>
        <v>-3150</v>
      </c>
    </row>
    <row r="24" spans="1:12" x14ac:dyDescent="0.25">
      <c r="A24" s="39">
        <v>41922</v>
      </c>
      <c r="B24" s="40" t="s">
        <v>3</v>
      </c>
      <c r="C24" s="40"/>
      <c r="D24" s="40">
        <v>-60</v>
      </c>
      <c r="E24" s="40"/>
      <c r="F24" s="40"/>
      <c r="G24" s="40"/>
      <c r="H24" s="40"/>
      <c r="I24" s="40"/>
      <c r="J24" s="40"/>
      <c r="K24" s="40"/>
      <c r="L24" s="41">
        <f t="shared" si="2"/>
        <v>-30000</v>
      </c>
    </row>
    <row r="25" spans="1:12" x14ac:dyDescent="0.25">
      <c r="A25" s="39">
        <v>41922</v>
      </c>
      <c r="B25" s="40" t="s">
        <v>0</v>
      </c>
      <c r="C25" s="40"/>
      <c r="D25" s="40">
        <v>60</v>
      </c>
      <c r="E25" s="40"/>
      <c r="F25" s="40"/>
      <c r="G25" s="40"/>
      <c r="H25" s="40"/>
      <c r="I25" s="40"/>
      <c r="J25" s="40"/>
      <c r="K25" s="40"/>
      <c r="L25" s="41">
        <f t="shared" si="2"/>
        <v>30000</v>
      </c>
    </row>
    <row r="26" spans="1:12" x14ac:dyDescent="0.25">
      <c r="A26" s="39">
        <v>41923</v>
      </c>
      <c r="B26" s="40" t="s">
        <v>5</v>
      </c>
      <c r="C26" s="40">
        <v>-91</v>
      </c>
      <c r="D26" s="40">
        <v>-1000</v>
      </c>
      <c r="E26" s="40">
        <v>-1</v>
      </c>
      <c r="F26" s="40"/>
      <c r="G26" s="40"/>
      <c r="H26" s="40">
        <v>-4</v>
      </c>
      <c r="I26" s="40"/>
      <c r="J26" s="40">
        <v>-2</v>
      </c>
      <c r="K26" s="40"/>
      <c r="L26" s="41">
        <f t="shared" si="2"/>
        <v>-591144</v>
      </c>
    </row>
    <row r="27" spans="1:12" x14ac:dyDescent="0.25">
      <c r="A27" s="39">
        <v>41923</v>
      </c>
      <c r="B27" s="40" t="s">
        <v>0</v>
      </c>
      <c r="C27" s="40"/>
      <c r="D27" s="40"/>
      <c r="E27" s="40"/>
      <c r="F27" s="40"/>
      <c r="G27" s="40"/>
      <c r="H27" s="40">
        <v>-4</v>
      </c>
      <c r="I27" s="40"/>
      <c r="J27" s="40"/>
      <c r="K27" s="40"/>
      <c r="L27" s="41">
        <f t="shared" ref="L27:L34" si="3">(C27*1000)+(D27*500)+(E27*100)+(F27*50)+(G27*20)+(H27*10)+(I27*5)+(J27*2)+(K27*1)</f>
        <v>-40</v>
      </c>
    </row>
    <row r="28" spans="1:12" x14ac:dyDescent="0.25">
      <c r="A28" s="39">
        <v>41923</v>
      </c>
      <c r="B28" s="40" t="s">
        <v>0</v>
      </c>
      <c r="C28" s="40"/>
      <c r="D28" s="40"/>
      <c r="E28" s="40">
        <v>-1</v>
      </c>
      <c r="F28" s="40"/>
      <c r="G28" s="40"/>
      <c r="H28" s="40">
        <v>-7</v>
      </c>
      <c r="I28" s="40"/>
      <c r="J28" s="40"/>
      <c r="K28" s="40"/>
      <c r="L28" s="41">
        <f t="shared" si="3"/>
        <v>-170</v>
      </c>
    </row>
    <row r="29" spans="1:12" x14ac:dyDescent="0.25">
      <c r="A29" s="39">
        <v>41923</v>
      </c>
      <c r="B29" s="40" t="s">
        <v>3</v>
      </c>
      <c r="C29" s="40"/>
      <c r="D29" s="40">
        <v>100</v>
      </c>
      <c r="E29" s="40"/>
      <c r="F29" s="40"/>
      <c r="G29" s="40"/>
      <c r="H29" s="40"/>
      <c r="I29" s="40"/>
      <c r="J29" s="40"/>
      <c r="K29" s="40"/>
      <c r="L29" s="41">
        <f t="shared" si="3"/>
        <v>50000</v>
      </c>
    </row>
    <row r="30" spans="1:12" x14ac:dyDescent="0.25">
      <c r="A30" s="39">
        <v>41925</v>
      </c>
      <c r="B30" s="40" t="s">
        <v>0</v>
      </c>
      <c r="C30" s="40"/>
      <c r="D30" s="40"/>
      <c r="E30" s="40"/>
      <c r="F30" s="40"/>
      <c r="G30" s="40"/>
      <c r="H30" s="40">
        <v>-4</v>
      </c>
      <c r="I30" s="40"/>
      <c r="J30" s="40"/>
      <c r="K30" s="40"/>
      <c r="L30" s="41">
        <f t="shared" si="3"/>
        <v>-40</v>
      </c>
    </row>
    <row r="31" spans="1:12" x14ac:dyDescent="0.25">
      <c r="A31" s="39">
        <v>41925</v>
      </c>
      <c r="B31" s="40" t="s">
        <v>3</v>
      </c>
      <c r="C31" s="40">
        <v>5</v>
      </c>
      <c r="D31" s="40">
        <v>10</v>
      </c>
      <c r="E31" s="40"/>
      <c r="F31" s="40"/>
      <c r="G31" s="40"/>
      <c r="H31" s="40"/>
      <c r="I31" s="40"/>
      <c r="J31" s="40"/>
      <c r="K31" s="40"/>
      <c r="L31" s="41">
        <f t="shared" si="3"/>
        <v>10000</v>
      </c>
    </row>
    <row r="32" spans="1:12" x14ac:dyDescent="0.25">
      <c r="A32" s="39">
        <v>41926</v>
      </c>
      <c r="B32" s="40" t="s">
        <v>3</v>
      </c>
      <c r="C32" s="40"/>
      <c r="D32" s="40">
        <v>-80</v>
      </c>
      <c r="E32" s="40"/>
      <c r="F32" s="40"/>
      <c r="G32" s="40"/>
      <c r="H32" s="40"/>
      <c r="I32" s="40"/>
      <c r="J32" s="40"/>
      <c r="K32" s="40"/>
      <c r="L32" s="41">
        <f t="shared" si="3"/>
        <v>-40000</v>
      </c>
    </row>
    <row r="33" spans="1:12" x14ac:dyDescent="0.25">
      <c r="A33" s="39">
        <v>41926</v>
      </c>
      <c r="B33" s="40" t="s">
        <v>0</v>
      </c>
      <c r="C33" s="40"/>
      <c r="D33" s="40">
        <v>80</v>
      </c>
      <c r="E33" s="40"/>
      <c r="F33" s="40"/>
      <c r="G33" s="40"/>
      <c r="H33" s="40"/>
      <c r="I33" s="40"/>
      <c r="J33" s="40"/>
      <c r="K33" s="40"/>
      <c r="L33" s="41">
        <f t="shared" si="3"/>
        <v>40000</v>
      </c>
    </row>
    <row r="34" spans="1:12" x14ac:dyDescent="0.25">
      <c r="A34" s="39">
        <v>41926</v>
      </c>
      <c r="B34" s="40" t="s">
        <v>0</v>
      </c>
      <c r="C34" s="40"/>
      <c r="D34" s="40">
        <v>-94</v>
      </c>
      <c r="E34" s="40">
        <v>-2</v>
      </c>
      <c r="F34" s="40"/>
      <c r="G34" s="40"/>
      <c r="H34" s="40"/>
      <c r="I34" s="40"/>
      <c r="J34" s="40"/>
      <c r="K34" s="40"/>
      <c r="L34" s="41">
        <f t="shared" si="3"/>
        <v>-47200</v>
      </c>
    </row>
    <row r="35" spans="1:12" x14ac:dyDescent="0.25">
      <c r="A35" s="39">
        <v>41926</v>
      </c>
      <c r="B35" s="40" t="s">
        <v>3</v>
      </c>
      <c r="C35" s="40"/>
      <c r="D35" s="40"/>
      <c r="E35" s="40">
        <v>30</v>
      </c>
      <c r="F35" s="40"/>
      <c r="G35" s="40"/>
      <c r="H35" s="40"/>
      <c r="I35" s="40"/>
      <c r="J35" s="40"/>
      <c r="K35" s="40"/>
      <c r="L35" s="41">
        <f t="shared" ref="L35:L41" si="4">(C35*1000)+(D35*500)+(E35*100)+(F35*50)+(G35*20)+(H35*10)+(I35*5)+(J35*2)+(K35*1)</f>
        <v>3000</v>
      </c>
    </row>
    <row r="36" spans="1:12" x14ac:dyDescent="0.25">
      <c r="A36" s="39">
        <v>41926</v>
      </c>
      <c r="B36" s="40" t="s">
        <v>0</v>
      </c>
      <c r="C36" s="40"/>
      <c r="D36" s="40"/>
      <c r="E36" s="40">
        <v>-1</v>
      </c>
      <c r="F36" s="40">
        <v>-1</v>
      </c>
      <c r="G36" s="40"/>
      <c r="H36" s="40"/>
      <c r="I36" s="40"/>
      <c r="J36" s="40">
        <v>-1</v>
      </c>
      <c r="K36" s="40"/>
      <c r="L36" s="41">
        <f t="shared" si="4"/>
        <v>-152</v>
      </c>
    </row>
    <row r="37" spans="1:12" x14ac:dyDescent="0.25">
      <c r="A37" s="39">
        <v>41926</v>
      </c>
      <c r="B37" s="40" t="s">
        <v>3</v>
      </c>
      <c r="C37" s="40">
        <v>58</v>
      </c>
      <c r="D37" s="40">
        <v>2</v>
      </c>
      <c r="E37" s="40">
        <v>106</v>
      </c>
      <c r="F37" s="40"/>
      <c r="G37" s="40"/>
      <c r="H37" s="40"/>
      <c r="I37" s="40"/>
      <c r="J37" s="40"/>
      <c r="K37" s="40"/>
      <c r="L37" s="41">
        <f t="shared" si="4"/>
        <v>69600</v>
      </c>
    </row>
    <row r="38" spans="1:12" x14ac:dyDescent="0.25">
      <c r="A38" s="39">
        <v>41926</v>
      </c>
      <c r="B38" s="40" t="s">
        <v>0</v>
      </c>
      <c r="C38" s="40"/>
      <c r="D38" s="40"/>
      <c r="E38" s="40">
        <v>-3</v>
      </c>
      <c r="F38" s="40"/>
      <c r="G38" s="40"/>
      <c r="H38" s="40"/>
      <c r="I38" s="40"/>
      <c r="J38" s="40"/>
      <c r="K38" s="40"/>
      <c r="L38" s="41">
        <f t="shared" si="4"/>
        <v>-300</v>
      </c>
    </row>
    <row r="39" spans="1:12" x14ac:dyDescent="0.25">
      <c r="A39" s="39">
        <v>41927</v>
      </c>
      <c r="B39" s="40" t="s">
        <v>0</v>
      </c>
      <c r="C39" s="40"/>
      <c r="D39" s="40">
        <v>-1</v>
      </c>
      <c r="E39" s="40"/>
      <c r="F39" s="40"/>
      <c r="G39" s="40"/>
      <c r="H39" s="40"/>
      <c r="I39" s="40"/>
      <c r="J39" s="40"/>
      <c r="K39" s="40"/>
      <c r="L39" s="41">
        <f t="shared" si="4"/>
        <v>-500</v>
      </c>
    </row>
    <row r="40" spans="1:12" x14ac:dyDescent="0.25">
      <c r="A40" s="39">
        <v>41927</v>
      </c>
      <c r="B40" s="40" t="s">
        <v>3</v>
      </c>
      <c r="C40" s="40">
        <v>10</v>
      </c>
      <c r="D40" s="40"/>
      <c r="E40" s="40"/>
      <c r="F40" s="40"/>
      <c r="G40" s="40"/>
      <c r="H40" s="40"/>
      <c r="I40" s="40"/>
      <c r="J40" s="40"/>
      <c r="K40" s="40"/>
      <c r="L40" s="41">
        <f>(C40*1000)+(D40*500)+(E40*100)+(F40*50)+(G40*20)+(H40*10)+(I40*5)+(J40*2)+(K40*1)</f>
        <v>10000</v>
      </c>
    </row>
    <row r="41" spans="1:12" x14ac:dyDescent="0.25">
      <c r="A41" s="39">
        <v>41927</v>
      </c>
      <c r="B41" s="40" t="s">
        <v>0</v>
      </c>
      <c r="C41" s="40">
        <v>-3</v>
      </c>
      <c r="D41" s="40"/>
      <c r="E41" s="40">
        <v>-1</v>
      </c>
      <c r="F41" s="40">
        <v>-1</v>
      </c>
      <c r="G41" s="40"/>
      <c r="H41" s="40"/>
      <c r="I41" s="40"/>
      <c r="J41" s="40"/>
      <c r="K41" s="40"/>
      <c r="L41" s="41">
        <f t="shared" si="4"/>
        <v>-3150</v>
      </c>
    </row>
    <row r="42" spans="1:12" x14ac:dyDescent="0.25">
      <c r="A42" s="39">
        <v>41927</v>
      </c>
      <c r="B42" s="40" t="s">
        <v>0</v>
      </c>
      <c r="C42" s="40"/>
      <c r="D42" s="40">
        <v>-1</v>
      </c>
      <c r="E42" s="40"/>
      <c r="F42" s="40"/>
      <c r="G42" s="40"/>
      <c r="H42" s="40">
        <v>-4</v>
      </c>
      <c r="I42" s="40"/>
      <c r="J42" s="40"/>
      <c r="K42" s="40"/>
      <c r="L42" s="41">
        <f t="shared" ref="L42:L43" si="5">(C42*1000)+(D42*500)+(E42*100)+(F42*50)+(G42*20)+(H42*10)+(I42*5)+(J42*2)+(K42*1)</f>
        <v>-540</v>
      </c>
    </row>
    <row r="43" spans="1:12" x14ac:dyDescent="0.25">
      <c r="A43" s="39">
        <v>41927</v>
      </c>
      <c r="B43" s="40" t="s">
        <v>0</v>
      </c>
      <c r="C43" s="40">
        <v>-1</v>
      </c>
      <c r="D43" s="40">
        <v>-1</v>
      </c>
      <c r="E43" s="40">
        <v>-1</v>
      </c>
      <c r="F43" s="40">
        <v>-1</v>
      </c>
      <c r="G43" s="40"/>
      <c r="H43" s="40">
        <v>-1</v>
      </c>
      <c r="I43" s="40">
        <v>-1</v>
      </c>
      <c r="J43" s="40"/>
      <c r="K43" s="40"/>
      <c r="L43" s="41">
        <f t="shared" si="5"/>
        <v>-1665</v>
      </c>
    </row>
  </sheetData>
  <dataValidations count="1">
    <dataValidation type="list" allowBlank="1" showInputMessage="1" showErrorMessage="1" sqref="B4:B43">
      <formula1>"Receipt, Petty Cash, Petty Cash (StaleNote), Change, Bank Deposite"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"/>
  <sheetViews>
    <sheetView workbookViewId="0">
      <pane ySplit="4" topLeftCell="A5" activePane="bottomLeft" state="frozen"/>
      <selection pane="bottomLeft" activeCell="F6" sqref="F6"/>
    </sheetView>
  </sheetViews>
  <sheetFormatPr defaultRowHeight="15" x14ac:dyDescent="0.25"/>
  <cols>
    <col min="1" max="1" width="10.5703125" customWidth="1"/>
    <col min="2" max="5" width="11.140625" style="5" customWidth="1"/>
    <col min="6" max="6" width="11.5703125" style="5" customWidth="1"/>
    <col min="7" max="8" width="13.140625" style="5" customWidth="1"/>
    <col min="9" max="9" width="10.5703125" style="5" customWidth="1"/>
  </cols>
  <sheetData>
    <row r="1" spans="1:9" ht="18.75" x14ac:dyDescent="0.3">
      <c r="A1" s="1" t="s">
        <v>11</v>
      </c>
    </row>
    <row r="3" spans="1:9" s="25" customFormat="1" ht="22.5" customHeight="1" x14ac:dyDescent="0.25">
      <c r="A3" s="19" t="s">
        <v>4</v>
      </c>
      <c r="B3" s="20">
        <f>SUBTOTAL(9,Table8[Bank Deposite])</f>
        <v>-591144</v>
      </c>
      <c r="C3" s="21">
        <f>SUBTOTAL(9,Table8[Receipt])+B3</f>
        <v>102600</v>
      </c>
      <c r="D3" s="21">
        <f>SUBTOTAL(9,Table8[Petty Cash])</f>
        <v>23173</v>
      </c>
      <c r="E3" s="22">
        <f>SUBTOTAL(9,Table8[Petty Cash (StaleNote)])</f>
        <v>1100</v>
      </c>
      <c r="F3" s="23">
        <f>SUMIF(Table8[Date],TEXT(MAX(Table8[Date]),"dd-mm-yy"),Table8[Total Physical Cash '[A']])</f>
        <v>126873</v>
      </c>
      <c r="G3" s="24"/>
      <c r="H3" s="24"/>
      <c r="I3" s="24"/>
    </row>
    <row r="4" spans="1:9" ht="45" x14ac:dyDescent="0.25">
      <c r="A4" s="4" t="s">
        <v>1</v>
      </c>
      <c r="B4" s="6" t="s">
        <v>5</v>
      </c>
      <c r="C4" s="7" t="s">
        <v>3</v>
      </c>
      <c r="D4" s="7" t="s">
        <v>0</v>
      </c>
      <c r="E4" s="8" t="s">
        <v>22</v>
      </c>
      <c r="F4" s="9" t="s">
        <v>6</v>
      </c>
      <c r="G4" s="6" t="s">
        <v>7</v>
      </c>
      <c r="H4" s="8" t="s">
        <v>8</v>
      </c>
      <c r="I4" s="6" t="s">
        <v>9</v>
      </c>
    </row>
    <row r="5" spans="1:9" x14ac:dyDescent="0.25">
      <c r="A5" s="2">
        <v>41918</v>
      </c>
      <c r="B5" s="10">
        <f>SUMPRODUCT((Table3[Date]=CashSummary!A5)*(Table3[Transaction]=CashSummary!$B$4)*(Table3[Total]))</f>
        <v>0</v>
      </c>
      <c r="C5" s="11">
        <f>SUMPRODUCT((Table3[Date]=CashSummary!A5)*(Table3[Transaction]=CashSummary!$C$4)*(Table3[Total]))</f>
        <v>135894</v>
      </c>
      <c r="D5" s="11">
        <f>SUMPRODUCT((Table3[Date]=CashSummary!A5)*(Table3[Transaction]=CashSummary!$D$4)*(Table3[Total]))</f>
        <v>34765</v>
      </c>
      <c r="E5" s="12">
        <f>SUMPRODUCT((Table3[Date]=CashSummary!A5)*(Table3[Transaction]=CashSummary!$E$4)*(Table3[Total]))</f>
        <v>1100</v>
      </c>
      <c r="F5" s="13">
        <f>SUM(CashSummary!$B5:$E5)</f>
        <v>171759</v>
      </c>
      <c r="G5" s="10">
        <v>135894</v>
      </c>
      <c r="H5" s="11">
        <f>1105133-10000-1000000-58677</f>
        <v>36456</v>
      </c>
      <c r="I5" s="10">
        <f t="shared" ref="I5:I6" si="0">F5-(G5+H5)</f>
        <v>-591</v>
      </c>
    </row>
    <row r="6" spans="1:9" x14ac:dyDescent="0.25">
      <c r="A6" s="3">
        <v>41919</v>
      </c>
      <c r="B6" s="14">
        <f>SUMPRODUCT((Table3[Date]=CashSummary!A6)*(Table3[Transaction]=CashSummary!$B$4)*(Table3[Total]))</f>
        <v>0</v>
      </c>
      <c r="C6" s="15">
        <f>SUMPRODUCT((Table3[Date]=CashSummary!A6)*(Table3[Transaction]=CashSummary!$C$4)*(Table3[Total]))</f>
        <v>45000</v>
      </c>
      <c r="D6" s="15">
        <f>SUMPRODUCT((Table3[Date]=CashSummary!A6)*(Table3[Transaction]=CashSummary!$D$4)*(Table3[Total]))</f>
        <v>-17365</v>
      </c>
      <c r="E6" s="16">
        <f>SUMPRODUCT((Table3[Date]=CashSummary!A6)*(Table3[Transaction]=CashSummary!$E$4)*(Table3[Total]))</f>
        <v>0</v>
      </c>
      <c r="F6" s="17">
        <f>SUM(CashSummary!$B6:$E6)+F5</f>
        <v>199394</v>
      </c>
      <c r="G6" s="14">
        <v>180894</v>
      </c>
      <c r="H6" s="15">
        <f>1087768-10000-1000000-58677</f>
        <v>19091</v>
      </c>
      <c r="I6" s="14">
        <f t="shared" si="0"/>
        <v>-591</v>
      </c>
    </row>
    <row r="7" spans="1:9" x14ac:dyDescent="0.25">
      <c r="A7" s="3">
        <v>41920</v>
      </c>
      <c r="B7" s="14">
        <f>SUMPRODUCT((Table3[Date]=CashSummary!A7)*(Table3[Transaction]=CashSummary!$B$4)*(Table3[Total]))</f>
        <v>0</v>
      </c>
      <c r="C7" s="15">
        <f>SUMPRODUCT((Table3[Date]=CashSummary!A7)*(Table3[Transaction]=CashSummary!$C$4)*(Table3[Total]))</f>
        <v>200</v>
      </c>
      <c r="D7" s="15">
        <f>SUMPRODUCT((Table3[Date]=CashSummary!A7)*(Table3[Transaction]=CashSummary!$D$4)*(Table3[Total]))</f>
        <v>-2500</v>
      </c>
      <c r="E7" s="16">
        <f>SUMPRODUCT((Table3[Date]=CashSummary!A7)*(Table3[Transaction]=CashSummary!$E$4)*(Table3[Total]))</f>
        <v>0</v>
      </c>
      <c r="F7" s="17">
        <f>SUM(CashSummary!$B7:$E7)+F6</f>
        <v>197094</v>
      </c>
      <c r="G7" s="14">
        <v>181094</v>
      </c>
      <c r="H7" s="15">
        <f>1085268-10000-1000000-58677</f>
        <v>16591</v>
      </c>
      <c r="I7" s="14">
        <f t="shared" ref="I7:I13" si="1">F7-(G7+H7)</f>
        <v>-591</v>
      </c>
    </row>
    <row r="8" spans="1:9" x14ac:dyDescent="0.25">
      <c r="A8" s="3">
        <v>41921</v>
      </c>
      <c r="B8" s="14">
        <f>SUMPRODUCT((Table3[Date]=CashSummary!A8)*(Table3[Transaction]=CashSummary!$B$4)*(Table3[Total]))</f>
        <v>0</v>
      </c>
      <c r="C8" s="5">
        <f>SUMPRODUCT((Table3[Date]=CashSummary!A8)*(Table3[Transaction]=CashSummary!$C$4)*(Table3[Total]))</f>
        <v>0</v>
      </c>
      <c r="D8" s="5">
        <f>SUMPRODUCT((Table3[Date]=CashSummary!A8)*(Table3[Transaction]=CashSummary!$D$4)*(Table3[Total]))</f>
        <v>-2500</v>
      </c>
      <c r="E8" s="16">
        <f>SUMPRODUCT((Table3[Date]=CashSummary!A8)*(Table3[Transaction]=CashSummary!$E$4)*(Table3[Total]))</f>
        <v>0</v>
      </c>
      <c r="F8" s="17">
        <f>SUM(CashSummary!$B8:$E8)+F7</f>
        <v>194594</v>
      </c>
      <c r="G8" s="14">
        <v>181094</v>
      </c>
      <c r="H8" s="15">
        <f>1082768-10000-1000000-58677</f>
        <v>14091</v>
      </c>
      <c r="I8" s="14">
        <f t="shared" si="1"/>
        <v>-591</v>
      </c>
    </row>
    <row r="9" spans="1:9" x14ac:dyDescent="0.25">
      <c r="A9" s="3">
        <v>41922</v>
      </c>
      <c r="B9" s="14">
        <f>SUMPRODUCT((Table3[Date]=CashSummary!A9)*(Table3[Transaction]=CashSummary!$B$4)*(Table3[Total]))</f>
        <v>0</v>
      </c>
      <c r="C9" s="5">
        <f>SUMPRODUCT((Table3[Date]=CashSummary!A9)*(Table3[Transaction]=CashSummary!$C$4)*(Table3[Total]))</f>
        <v>410050</v>
      </c>
      <c r="D9" s="5">
        <f>SUMPRODUCT((Table3[Date]=CashSummary!A9)*(Table3[Transaction]=CashSummary!$D$4)*(Table3[Total]))</f>
        <v>24530</v>
      </c>
      <c r="E9" s="16">
        <f>SUMPRODUCT((Table3[Date]=CashSummary!A9)*(Table3[Transaction]=CashSummary!$E$4)*(Table3[Total]))</f>
        <v>0</v>
      </c>
      <c r="F9" s="17">
        <f>SUM(CashSummary!$B9:$E9)+F8</f>
        <v>629174</v>
      </c>
      <c r="G9" s="14">
        <v>621144</v>
      </c>
      <c r="H9" s="15">
        <f>1077298-10000-1000000-58677</f>
        <v>8621</v>
      </c>
      <c r="I9" s="14">
        <f t="shared" si="1"/>
        <v>-591</v>
      </c>
    </row>
    <row r="10" spans="1:9" x14ac:dyDescent="0.25">
      <c r="A10" s="3">
        <v>41923</v>
      </c>
      <c r="B10" s="14">
        <f>SUMPRODUCT((Table3[Date]=CashSummary!A10)*(Table3[Transaction]=CashSummary!$B$4)*(Table3[Total]))</f>
        <v>-591144</v>
      </c>
      <c r="C10" s="5">
        <f>SUMPRODUCT((Table3[Date]=CashSummary!A10)*(Table3[Transaction]=CashSummary!$C$4)*(Table3[Total]))</f>
        <v>50000</v>
      </c>
      <c r="D10" s="5">
        <f>SUMPRODUCT((Table3[Date]=CashSummary!A10)*(Table3[Transaction]=CashSummary!$D$4)*(Table3[Total]))</f>
        <v>-210</v>
      </c>
      <c r="E10" s="16">
        <f>SUMPRODUCT((Table3[Date]=CashSummary!A10)*(Table3[Transaction]=CashSummary!$E$4)*(Table3[Total]))</f>
        <v>0</v>
      </c>
      <c r="F10" s="18">
        <f>SUM(CashSummary!$B10:$E10)+F9</f>
        <v>87820</v>
      </c>
      <c r="G10" s="14">
        <v>50000</v>
      </c>
      <c r="H10" s="15">
        <f>1107088-10000-1000000-58677</f>
        <v>38411</v>
      </c>
      <c r="I10" s="14">
        <f t="shared" si="1"/>
        <v>-591</v>
      </c>
    </row>
    <row r="11" spans="1:9" x14ac:dyDescent="0.25">
      <c r="A11" s="3">
        <v>41924</v>
      </c>
      <c r="B11" s="14">
        <f>SUMPRODUCT((Table3[Date]=CashSummary!A11)*(Table3[Transaction]=CashSummary!$B$4)*(Table3[Total]))</f>
        <v>0</v>
      </c>
      <c r="C11" s="5">
        <f>SUMPRODUCT((Table3[Date]=CashSummary!A11)*(Table3[Transaction]=CashSummary!$C$4)*(Table3[Total]))</f>
        <v>0</v>
      </c>
      <c r="D11" s="5">
        <f>SUMPRODUCT((Table3[Date]=CashSummary!A11)*(Table3[Transaction]=CashSummary!$D$4)*(Table3[Total]))</f>
        <v>0</v>
      </c>
      <c r="E11" s="16">
        <f>SUMPRODUCT((Table3[Date]=CashSummary!A11)*(Table3[Transaction]=CashSummary!$E$4)*(Table3[Total]))</f>
        <v>0</v>
      </c>
      <c r="F11" s="18">
        <f>SUM(CashSummary!$B11:$E11)+F10</f>
        <v>87820</v>
      </c>
      <c r="G11" s="14">
        <v>50000</v>
      </c>
      <c r="H11" s="15">
        <f>1107088-10000-1000000-58677</f>
        <v>38411</v>
      </c>
      <c r="I11" s="14">
        <f t="shared" si="1"/>
        <v>-591</v>
      </c>
    </row>
    <row r="12" spans="1:9" x14ac:dyDescent="0.25">
      <c r="A12" s="3">
        <v>41925</v>
      </c>
      <c r="B12" s="14">
        <f>SUMPRODUCT((Table3[Date]=CashSummary!A12)*(Table3[Transaction]=CashSummary!$B$4)*(Table3[Total]))</f>
        <v>0</v>
      </c>
      <c r="C12" s="5">
        <f>SUMPRODUCT((Table3[Date]=CashSummary!A12)*(Table3[Transaction]=CashSummary!$C$4)*(Table3[Total]))</f>
        <v>10000</v>
      </c>
      <c r="D12" s="5">
        <f>SUMPRODUCT((Table3[Date]=CashSummary!A12)*(Table3[Transaction]=CashSummary!$D$4)*(Table3[Total]))</f>
        <v>-40</v>
      </c>
      <c r="E12" s="16">
        <f>SUMPRODUCT((Table3[Date]=CashSummary!A12)*(Table3[Transaction]=CashSummary!$E$4)*(Table3[Total]))</f>
        <v>0</v>
      </c>
      <c r="F12" s="18">
        <f>SUM(CashSummary!$B12:$E12)+F11</f>
        <v>97780</v>
      </c>
      <c r="G12" s="14">
        <v>60000</v>
      </c>
      <c r="H12" s="15">
        <f>1107048-10000-1000000-58677</f>
        <v>38371</v>
      </c>
      <c r="I12" s="14">
        <f t="shared" si="1"/>
        <v>-591</v>
      </c>
    </row>
    <row r="13" spans="1:9" x14ac:dyDescent="0.25">
      <c r="A13" s="3">
        <v>41926</v>
      </c>
      <c r="B13" s="14">
        <f>SUMPRODUCT((Table3[Date]=CashSummary!A13)*(Table3[Transaction]=CashSummary!$B$4)*(Table3[Total]))</f>
        <v>0</v>
      </c>
      <c r="C13" s="5">
        <f>SUMPRODUCT((Table3[Date]=CashSummary!A13)*(Table3[Transaction]=CashSummary!$C$4)*(Table3[Total]))</f>
        <v>32600</v>
      </c>
      <c r="D13" s="5">
        <f>SUMPRODUCT((Table3[Date]=CashSummary!A13)*(Table3[Transaction]=CashSummary!$D$4)*(Table3[Total]))</f>
        <v>-7652</v>
      </c>
      <c r="E13" s="16">
        <f>SUMPRODUCT((Table3[Date]=CashSummary!A13)*(Table3[Transaction]=CashSummary!$E$4)*(Table3[Total]))</f>
        <v>0</v>
      </c>
      <c r="F13" s="18">
        <f>SUM(CashSummary!$B13:$E13)+F12</f>
        <v>122728</v>
      </c>
      <c r="G13" s="14">
        <v>92600</v>
      </c>
      <c r="H13" s="15">
        <f>1099396-10000-1000000-58677</f>
        <v>30719</v>
      </c>
      <c r="I13" s="14">
        <f t="shared" si="1"/>
        <v>-591</v>
      </c>
    </row>
    <row r="14" spans="1:9" x14ac:dyDescent="0.25">
      <c r="A14" s="3">
        <v>41927</v>
      </c>
      <c r="B14" s="14">
        <f>SUMPRODUCT((Table3[Date]=CashSummary!A14)*(Table3[Transaction]=CashSummary!$B$4)*(Table3[Total]))</f>
        <v>0</v>
      </c>
      <c r="C14" s="5">
        <f>SUMPRODUCT((Table3[Date]=CashSummary!A14)*(Table3[Transaction]=CashSummary!$C$4)*(Table3[Total]))</f>
        <v>10000</v>
      </c>
      <c r="D14" s="5">
        <f>SUMPRODUCT((Table3[Date]=CashSummary!A14)*(Table3[Transaction]=CashSummary!$D$4)*(Table3[Total]))</f>
        <v>-5855</v>
      </c>
      <c r="E14" s="16">
        <f>SUMPRODUCT((Table3[Date]=CashSummary!A14)*(Table3[Transaction]=CashSummary!$E$4)*(Table3[Total]))</f>
        <v>0</v>
      </c>
      <c r="F14" s="18">
        <f>SUM(CashSummary!$B14:$E14)+F13</f>
        <v>126873</v>
      </c>
      <c r="G14" s="14">
        <v>102600</v>
      </c>
      <c r="H14" s="15">
        <f>1093541-10000-1000000-58677</f>
        <v>24864</v>
      </c>
      <c r="I14" s="14">
        <f t="shared" ref="I14" si="2">F14-(G14+H14)</f>
        <v>-591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Entry</vt:lpstr>
      <vt:lpstr>CashSummary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2014-11-29T06:04:30Z</dcterms:modified>
</cp:coreProperties>
</file>