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embeddings/oleObject1.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heckCompatibility="1" defaultThemeVersion="124226"/>
  <bookViews>
    <workbookView xWindow="0" yWindow="135" windowWidth="23955" windowHeight="9780" activeTab="1"/>
  </bookViews>
  <sheets>
    <sheet name="Form-6A" sheetId="1" r:id="rId1"/>
    <sheet name="Form-3A" sheetId="2" r:id="rId2"/>
    <sheet name="Monthly wages" sheetId="3" r:id="rId3"/>
    <sheet name="Form No -9" sheetId="5" r:id="rId4"/>
    <sheet name="Form 2" sheetId="6" r:id="rId5"/>
  </sheets>
  <calcPr calcId="125725"/>
</workbook>
</file>

<file path=xl/calcChain.xml><?xml version="1.0" encoding="utf-8"?>
<calcChain xmlns="http://schemas.openxmlformats.org/spreadsheetml/2006/main">
  <c r="AA22" i="2"/>
  <c r="AA21"/>
  <c r="AA20"/>
  <c r="AA19"/>
  <c r="AA18"/>
  <c r="AA17"/>
  <c r="AO37"/>
  <c r="C14" i="5" l="1"/>
  <c r="D14" s="1"/>
  <c r="E14" s="1"/>
  <c r="F14" s="1"/>
  <c r="G14" s="1"/>
  <c r="H14" s="1"/>
  <c r="I14" s="1"/>
  <c r="J14" s="1"/>
  <c r="K14" s="1"/>
  <c r="L14" s="1"/>
  <c r="B14"/>
  <c r="V25" i="3"/>
  <c r="V24"/>
  <c r="V23"/>
  <c r="V22"/>
  <c r="V21"/>
  <c r="V20"/>
  <c r="V19"/>
  <c r="V18"/>
  <c r="V17"/>
  <c r="V16"/>
  <c r="V15"/>
  <c r="V14"/>
  <c r="V13"/>
  <c r="V12"/>
  <c r="V11"/>
  <c r="V10"/>
  <c r="V9"/>
  <c r="V8"/>
  <c r="V7"/>
  <c r="V6"/>
  <c r="V5"/>
  <c r="V4"/>
  <c r="H24" l="1"/>
  <c r="H23"/>
  <c r="H22"/>
  <c r="H21"/>
  <c r="H20"/>
  <c r="H19"/>
  <c r="H18"/>
  <c r="H17"/>
  <c r="H16"/>
  <c r="H15"/>
  <c r="H14"/>
  <c r="H13"/>
  <c r="H12"/>
  <c r="H11"/>
  <c r="H10"/>
  <c r="H9"/>
  <c r="H8"/>
  <c r="H7"/>
  <c r="H6"/>
  <c r="H5"/>
  <c r="H4"/>
  <c r="O24"/>
  <c r="O23"/>
  <c r="O22"/>
  <c r="O21"/>
  <c r="O20"/>
  <c r="O19"/>
  <c r="O18"/>
  <c r="O17"/>
  <c r="O16"/>
  <c r="O15"/>
  <c r="O14"/>
  <c r="O13"/>
  <c r="O12"/>
  <c r="O11"/>
  <c r="O10"/>
  <c r="O9"/>
  <c r="O8"/>
  <c r="O7"/>
  <c r="O6"/>
  <c r="O5"/>
  <c r="O4"/>
  <c r="M25"/>
  <c r="M24"/>
  <c r="M23"/>
  <c r="M22"/>
  <c r="M21"/>
  <c r="M20"/>
  <c r="M19"/>
  <c r="M18"/>
  <c r="M17"/>
  <c r="M16"/>
  <c r="M15"/>
  <c r="M14"/>
  <c r="M13"/>
  <c r="M11"/>
  <c r="M10"/>
  <c r="M9"/>
  <c r="M8"/>
  <c r="M7"/>
  <c r="M6"/>
  <c r="M5"/>
  <c r="M4"/>
  <c r="M12"/>
  <c r="AA2" i="2"/>
  <c r="AA3"/>
  <c r="AA4"/>
  <c r="AA5"/>
  <c r="AA6"/>
  <c r="AA7"/>
  <c r="AA8"/>
  <c r="AA9"/>
  <c r="AA10"/>
  <c r="AA11"/>
  <c r="AA12"/>
  <c r="AA13"/>
  <c r="AA14"/>
  <c r="AA15"/>
  <c r="AA16"/>
  <c r="AA1"/>
  <c r="A17" i="1"/>
  <c r="A18" s="1"/>
  <c r="A19" s="1"/>
  <c r="A20" s="1"/>
  <c r="A21" s="1"/>
  <c r="A22" s="1"/>
  <c r="A23" s="1"/>
  <c r="A24" s="1"/>
  <c r="A25" s="1"/>
  <c r="A26" s="1"/>
  <c r="A27" s="1"/>
  <c r="A28" s="1"/>
  <c r="A29" s="1"/>
  <c r="A30" s="1"/>
  <c r="A31" s="1"/>
  <c r="A32" s="1"/>
  <c r="A33" s="1"/>
  <c r="A34" s="1"/>
  <c r="A35" s="1"/>
  <c r="A36" s="1"/>
  <c r="A16"/>
  <c r="D36"/>
  <c r="D35"/>
  <c r="D34"/>
  <c r="D33"/>
  <c r="D32"/>
  <c r="D31"/>
  <c r="D30"/>
  <c r="D29"/>
  <c r="D28"/>
  <c r="D27"/>
  <c r="D26"/>
  <c r="D25"/>
  <c r="D24"/>
  <c r="D23"/>
  <c r="D22"/>
  <c r="D21"/>
  <c r="D20"/>
  <c r="D19"/>
  <c r="D18"/>
  <c r="D17"/>
  <c r="D16"/>
  <c r="D15"/>
  <c r="B36"/>
  <c r="B35"/>
  <c r="B34"/>
  <c r="B33"/>
  <c r="B32"/>
  <c r="B31"/>
  <c r="B30"/>
  <c r="B29"/>
  <c r="B28"/>
  <c r="B27"/>
  <c r="B26"/>
  <c r="B25"/>
  <c r="B24"/>
  <c r="B23"/>
  <c r="B22"/>
  <c r="B21"/>
  <c r="B20"/>
  <c r="B19"/>
  <c r="B18"/>
  <c r="B17"/>
  <c r="B16"/>
  <c r="B15"/>
  <c r="D28" i="2" l="1"/>
  <c r="D27"/>
  <c r="D26"/>
  <c r="D25"/>
  <c r="D24"/>
  <c r="D23"/>
  <c r="D22"/>
  <c r="D21"/>
  <c r="D20"/>
  <c r="D19"/>
  <c r="D18"/>
  <c r="D17"/>
  <c r="F11"/>
  <c r="F9"/>
  <c r="CJ24" i="3"/>
  <c r="H35" i="1" s="1"/>
  <c r="CJ23" i="3"/>
  <c r="H34" i="1" s="1"/>
  <c r="CJ22" i="3"/>
  <c r="H33" i="1" s="1"/>
  <c r="CJ21" i="3"/>
  <c r="H32" i="1" s="1"/>
  <c r="CJ20" i="3"/>
  <c r="H31" i="1" s="1"/>
  <c r="CJ19" i="3"/>
  <c r="H30" i="1" s="1"/>
  <c r="CJ18" i="3"/>
  <c r="H29" i="1" s="1"/>
  <c r="CJ17" i="3"/>
  <c r="H28" i="1" s="1"/>
  <c r="CJ16" i="3"/>
  <c r="H27" i="1" s="1"/>
  <c r="CJ15" i="3"/>
  <c r="H26" i="1" s="1"/>
  <c r="CJ14" i="3"/>
  <c r="H25" i="1" s="1"/>
  <c r="CJ13" i="3"/>
  <c r="H24" i="1" s="1"/>
  <c r="CJ12" i="3"/>
  <c r="H23" i="1" s="1"/>
  <c r="CJ11" i="3"/>
  <c r="H22" i="1" s="1"/>
  <c r="CJ10" i="3"/>
  <c r="H21" i="1" s="1"/>
  <c r="CJ9" i="3"/>
  <c r="H20" i="1" s="1"/>
  <c r="CJ8" i="3"/>
  <c r="H19" i="1" s="1"/>
  <c r="CJ7" i="3"/>
  <c r="H18" i="1" s="1"/>
  <c r="CJ6" i="3"/>
  <c r="H17" i="1" s="1"/>
  <c r="CJ5" i="3"/>
  <c r="H16" i="1" s="1"/>
  <c r="CJ4" i="3"/>
  <c r="H15" i="1" s="1"/>
  <c r="CJ25" i="3"/>
  <c r="H36" i="1" s="1"/>
  <c r="CC26" i="3"/>
  <c r="CH25"/>
  <c r="CF25"/>
  <c r="CE25"/>
  <c r="CG25" s="1"/>
  <c r="CD25"/>
  <c r="CH24"/>
  <c r="CF24"/>
  <c r="CE24"/>
  <c r="CG24" s="1"/>
  <c r="CD24"/>
  <c r="CH23"/>
  <c r="CF23"/>
  <c r="CE23"/>
  <c r="CG23" s="1"/>
  <c r="CD23"/>
  <c r="CH22"/>
  <c r="CF22"/>
  <c r="CE22"/>
  <c r="CG22" s="1"/>
  <c r="CD22"/>
  <c r="CH21"/>
  <c r="CF21"/>
  <c r="CE21"/>
  <c r="CG21" s="1"/>
  <c r="CD21"/>
  <c r="CH20"/>
  <c r="CF20"/>
  <c r="CE20"/>
  <c r="CG20" s="1"/>
  <c r="CD20"/>
  <c r="CH19"/>
  <c r="CF19"/>
  <c r="CE19"/>
  <c r="CG19" s="1"/>
  <c r="CD19"/>
  <c r="CH18"/>
  <c r="CF18"/>
  <c r="CE18"/>
  <c r="CG18" s="1"/>
  <c r="CD18"/>
  <c r="CH17"/>
  <c r="CF17"/>
  <c r="CE17"/>
  <c r="CG17" s="1"/>
  <c r="CD17"/>
  <c r="CH16"/>
  <c r="CF16"/>
  <c r="CE16"/>
  <c r="CG16" s="1"/>
  <c r="CD16"/>
  <c r="CH15"/>
  <c r="CF15"/>
  <c r="CE15"/>
  <c r="CG15" s="1"/>
  <c r="CD15"/>
  <c r="CH14"/>
  <c r="CF14"/>
  <c r="CE14"/>
  <c r="CG14" s="1"/>
  <c r="CD14"/>
  <c r="CH13"/>
  <c r="CF13"/>
  <c r="CE13"/>
  <c r="CG13" s="1"/>
  <c r="CD13"/>
  <c r="CH12"/>
  <c r="CF12"/>
  <c r="CE12"/>
  <c r="CG12" s="1"/>
  <c r="CD12"/>
  <c r="CH11"/>
  <c r="CF11"/>
  <c r="CE11"/>
  <c r="CG11" s="1"/>
  <c r="CD11"/>
  <c r="CH10"/>
  <c r="CF10"/>
  <c r="CE10"/>
  <c r="CG10" s="1"/>
  <c r="CD10"/>
  <c r="CH9"/>
  <c r="CF9"/>
  <c r="CE9"/>
  <c r="CG9" s="1"/>
  <c r="CD9"/>
  <c r="CH8"/>
  <c r="CF8"/>
  <c r="CE8"/>
  <c r="CG8" s="1"/>
  <c r="CD8"/>
  <c r="CH7"/>
  <c r="CF7"/>
  <c r="CE7"/>
  <c r="CG7" s="1"/>
  <c r="CD7"/>
  <c r="CH6"/>
  <c r="CF6"/>
  <c r="CE6"/>
  <c r="CG6" s="1"/>
  <c r="CD6"/>
  <c r="CH5"/>
  <c r="CF5"/>
  <c r="CE5"/>
  <c r="CG5" s="1"/>
  <c r="CD5"/>
  <c r="CH4"/>
  <c r="K28" i="2" s="1"/>
  <c r="H28"/>
  <c r="CF4" i="3"/>
  <c r="CE4"/>
  <c r="CD4"/>
  <c r="BV26"/>
  <c r="CA25"/>
  <c r="BY25"/>
  <c r="BX25"/>
  <c r="BZ25" s="1"/>
  <c r="BW25"/>
  <c r="CA24"/>
  <c r="BY24"/>
  <c r="BX24"/>
  <c r="BZ24" s="1"/>
  <c r="BW24"/>
  <c r="CA23"/>
  <c r="BY23"/>
  <c r="BX23"/>
  <c r="BZ23" s="1"/>
  <c r="BW23"/>
  <c r="CA22"/>
  <c r="BY22"/>
  <c r="BX22"/>
  <c r="BZ22" s="1"/>
  <c r="BW22"/>
  <c r="CA21"/>
  <c r="BY21"/>
  <c r="BX21"/>
  <c r="BZ21" s="1"/>
  <c r="BW21"/>
  <c r="CA20"/>
  <c r="BY20"/>
  <c r="BX20"/>
  <c r="BZ20" s="1"/>
  <c r="BW20"/>
  <c r="CA19"/>
  <c r="BY19"/>
  <c r="BX19"/>
  <c r="BZ19" s="1"/>
  <c r="BW19"/>
  <c r="CA18"/>
  <c r="BY18"/>
  <c r="BX18"/>
  <c r="BZ18" s="1"/>
  <c r="BW18"/>
  <c r="CA17"/>
  <c r="BY17"/>
  <c r="BX17"/>
  <c r="BZ17" s="1"/>
  <c r="BW17"/>
  <c r="CA16"/>
  <c r="BY16"/>
  <c r="BX16"/>
  <c r="BZ16" s="1"/>
  <c r="BW16"/>
  <c r="CA15"/>
  <c r="BY15"/>
  <c r="BX15"/>
  <c r="BZ15" s="1"/>
  <c r="BW15"/>
  <c r="CA14"/>
  <c r="BY14"/>
  <c r="BX14"/>
  <c r="BZ14" s="1"/>
  <c r="BW14"/>
  <c r="CA13"/>
  <c r="BY13"/>
  <c r="BX13"/>
  <c r="BZ13" s="1"/>
  <c r="BW13"/>
  <c r="CA12"/>
  <c r="BY12"/>
  <c r="BX12"/>
  <c r="BZ12" s="1"/>
  <c r="BW12"/>
  <c r="CA11"/>
  <c r="BY11"/>
  <c r="BX11"/>
  <c r="BZ11" s="1"/>
  <c r="BW11"/>
  <c r="CA10"/>
  <c r="BY10"/>
  <c r="BX10"/>
  <c r="BZ10" s="1"/>
  <c r="BW10"/>
  <c r="CA9"/>
  <c r="BY9"/>
  <c r="BX9"/>
  <c r="BZ9" s="1"/>
  <c r="BW9"/>
  <c r="CA8"/>
  <c r="BY8"/>
  <c r="BX8"/>
  <c r="BZ8" s="1"/>
  <c r="BW8"/>
  <c r="CA7"/>
  <c r="BY7"/>
  <c r="BX7"/>
  <c r="BZ7" s="1"/>
  <c r="BW7"/>
  <c r="CA6"/>
  <c r="BY6"/>
  <c r="BX6"/>
  <c r="BZ6" s="1"/>
  <c r="BW6"/>
  <c r="CA5"/>
  <c r="BY5"/>
  <c r="BX5"/>
  <c r="BZ5" s="1"/>
  <c r="BW5"/>
  <c r="CA4"/>
  <c r="K27" i="2" s="1"/>
  <c r="H27"/>
  <c r="BY4" i="3"/>
  <c r="BX4"/>
  <c r="BW4"/>
  <c r="BO26"/>
  <c r="BT25"/>
  <c r="BR25"/>
  <c r="BQ25"/>
  <c r="BS25" s="1"/>
  <c r="BP25"/>
  <c r="BT24"/>
  <c r="BR24"/>
  <c r="BQ24"/>
  <c r="BS24" s="1"/>
  <c r="BP24"/>
  <c r="BT23"/>
  <c r="BR23"/>
  <c r="BQ23"/>
  <c r="BS23" s="1"/>
  <c r="BP23"/>
  <c r="BT22"/>
  <c r="BR22"/>
  <c r="BQ22"/>
  <c r="BS22" s="1"/>
  <c r="BP22"/>
  <c r="BT21"/>
  <c r="BR21"/>
  <c r="BQ21"/>
  <c r="BS21" s="1"/>
  <c r="BP21"/>
  <c r="BT20"/>
  <c r="BR20"/>
  <c r="BQ20"/>
  <c r="BS20" s="1"/>
  <c r="BP20"/>
  <c r="BT19"/>
  <c r="K26" i="2" s="1"/>
  <c r="BR19" i="3"/>
  <c r="BQ19"/>
  <c r="BS19" s="1"/>
  <c r="H26" i="2" s="1"/>
  <c r="BP19" i="3"/>
  <c r="BT18"/>
  <c r="BR18"/>
  <c r="BQ18"/>
  <c r="BS18" s="1"/>
  <c r="BP18"/>
  <c r="BT17"/>
  <c r="BR17"/>
  <c r="BQ17"/>
  <c r="BS17" s="1"/>
  <c r="BP17"/>
  <c r="BT16"/>
  <c r="BR16"/>
  <c r="BQ16"/>
  <c r="BS16" s="1"/>
  <c r="BP16"/>
  <c r="BT15"/>
  <c r="BR15"/>
  <c r="BQ15"/>
  <c r="BS15" s="1"/>
  <c r="BP15"/>
  <c r="BT14"/>
  <c r="BR14"/>
  <c r="BQ14"/>
  <c r="BS14" s="1"/>
  <c r="BP14"/>
  <c r="BT13"/>
  <c r="BR13"/>
  <c r="BQ13"/>
  <c r="BS13" s="1"/>
  <c r="BP13"/>
  <c r="BT12"/>
  <c r="BR12"/>
  <c r="BQ12"/>
  <c r="BS12" s="1"/>
  <c r="BP12"/>
  <c r="BT11"/>
  <c r="BR11"/>
  <c r="BQ11"/>
  <c r="BS11" s="1"/>
  <c r="BP11"/>
  <c r="BT10"/>
  <c r="BR10"/>
  <c r="BQ10"/>
  <c r="BS10" s="1"/>
  <c r="BP10"/>
  <c r="BT9"/>
  <c r="BR9"/>
  <c r="BQ9"/>
  <c r="BS9" s="1"/>
  <c r="BP9"/>
  <c r="BT8"/>
  <c r="BR8"/>
  <c r="BQ8"/>
  <c r="BS8" s="1"/>
  <c r="BP8"/>
  <c r="BT7"/>
  <c r="BR7"/>
  <c r="BQ7"/>
  <c r="BS7" s="1"/>
  <c r="BP7"/>
  <c r="BT6"/>
  <c r="BR6"/>
  <c r="BQ6"/>
  <c r="BS6" s="1"/>
  <c r="BP6"/>
  <c r="BT5"/>
  <c r="BR5"/>
  <c r="BQ5"/>
  <c r="BS5" s="1"/>
  <c r="BP5"/>
  <c r="BT4"/>
  <c r="BR4"/>
  <c r="BQ4"/>
  <c r="BS4" s="1"/>
  <c r="BP4"/>
  <c r="BH26"/>
  <c r="BM25"/>
  <c r="BK25"/>
  <c r="BJ25"/>
  <c r="BL25" s="1"/>
  <c r="BI25"/>
  <c r="BM24"/>
  <c r="BK24"/>
  <c r="BJ24"/>
  <c r="BL24" s="1"/>
  <c r="BI24"/>
  <c r="BM23"/>
  <c r="BK23"/>
  <c r="BJ23"/>
  <c r="BL23" s="1"/>
  <c r="BI23"/>
  <c r="BM22"/>
  <c r="BK22"/>
  <c r="BJ22"/>
  <c r="BL22" s="1"/>
  <c r="BI22"/>
  <c r="BM21"/>
  <c r="BK21"/>
  <c r="BJ21"/>
  <c r="BL21" s="1"/>
  <c r="BI21"/>
  <c r="BM20"/>
  <c r="BK20"/>
  <c r="BJ20"/>
  <c r="BL20" s="1"/>
  <c r="BI20"/>
  <c r="BM19"/>
  <c r="K25" i="2" s="1"/>
  <c r="BK19" i="3"/>
  <c r="BJ19"/>
  <c r="BL19" s="1"/>
  <c r="H25" i="2" s="1"/>
  <c r="BI19" i="3"/>
  <c r="BM18"/>
  <c r="BK18"/>
  <c r="BJ18"/>
  <c r="BL18" s="1"/>
  <c r="BI18"/>
  <c r="BM17"/>
  <c r="BK17"/>
  <c r="BJ17"/>
  <c r="BL17" s="1"/>
  <c r="BI17"/>
  <c r="BM16"/>
  <c r="BK16"/>
  <c r="BJ16"/>
  <c r="BL16" s="1"/>
  <c r="BI16"/>
  <c r="BM15"/>
  <c r="BK15"/>
  <c r="BJ15"/>
  <c r="BL15" s="1"/>
  <c r="BI15"/>
  <c r="BM14"/>
  <c r="BK14"/>
  <c r="BJ14"/>
  <c r="BL14" s="1"/>
  <c r="BI14"/>
  <c r="BM13"/>
  <c r="BK13"/>
  <c r="BJ13"/>
  <c r="BL13" s="1"/>
  <c r="BI13"/>
  <c r="BM12"/>
  <c r="BK12"/>
  <c r="BJ12"/>
  <c r="BL12" s="1"/>
  <c r="BI12"/>
  <c r="BM11"/>
  <c r="BK11"/>
  <c r="BJ11"/>
  <c r="BL11" s="1"/>
  <c r="BI11"/>
  <c r="BM10"/>
  <c r="BK10"/>
  <c r="BJ10"/>
  <c r="BL10" s="1"/>
  <c r="BI10"/>
  <c r="BM9"/>
  <c r="BK9"/>
  <c r="BJ9"/>
  <c r="BL9" s="1"/>
  <c r="BI9"/>
  <c r="BM8"/>
  <c r="BK8"/>
  <c r="BJ8"/>
  <c r="BL8" s="1"/>
  <c r="BI8"/>
  <c r="BM7"/>
  <c r="BK7"/>
  <c r="BJ7"/>
  <c r="BL7" s="1"/>
  <c r="BI7"/>
  <c r="BM6"/>
  <c r="BK6"/>
  <c r="BJ6"/>
  <c r="BL6" s="1"/>
  <c r="BI6"/>
  <c r="BM5"/>
  <c r="BK5"/>
  <c r="BJ5"/>
  <c r="BL5" s="1"/>
  <c r="BI5"/>
  <c r="BM4"/>
  <c r="BK4"/>
  <c r="BJ4"/>
  <c r="BL4" s="1"/>
  <c r="BI4"/>
  <c r="BA26"/>
  <c r="BF25"/>
  <c r="BD25"/>
  <c r="BC25"/>
  <c r="BE25" s="1"/>
  <c r="BB25"/>
  <c r="BF24"/>
  <c r="BD24"/>
  <c r="BC24"/>
  <c r="BE24" s="1"/>
  <c r="BB24"/>
  <c r="BF23"/>
  <c r="BD23"/>
  <c r="BC23"/>
  <c r="BE23" s="1"/>
  <c r="BB23"/>
  <c r="BF22"/>
  <c r="BD22"/>
  <c r="BC22"/>
  <c r="BE22" s="1"/>
  <c r="BB22"/>
  <c r="BF21"/>
  <c r="BD21"/>
  <c r="BC21"/>
  <c r="BE21" s="1"/>
  <c r="BB21"/>
  <c r="BF20"/>
  <c r="BD20"/>
  <c r="BC20"/>
  <c r="BE20" s="1"/>
  <c r="BB20"/>
  <c r="BF19"/>
  <c r="K24" i="2" s="1"/>
  <c r="BD19" i="3"/>
  <c r="BC19"/>
  <c r="BB19"/>
  <c r="BF18"/>
  <c r="BD18"/>
  <c r="BC18"/>
  <c r="BE18" s="1"/>
  <c r="BB18"/>
  <c r="BF17"/>
  <c r="BD17"/>
  <c r="BC17"/>
  <c r="BE17" s="1"/>
  <c r="BB17"/>
  <c r="BF16"/>
  <c r="BD16"/>
  <c r="BC16"/>
  <c r="BE16" s="1"/>
  <c r="BB16"/>
  <c r="BF15"/>
  <c r="BD15"/>
  <c r="BC15"/>
  <c r="BE15" s="1"/>
  <c r="BB15"/>
  <c r="BF14"/>
  <c r="BD14"/>
  <c r="BC14"/>
  <c r="BE14" s="1"/>
  <c r="BB14"/>
  <c r="BF13"/>
  <c r="BD13"/>
  <c r="BC13"/>
  <c r="BE13" s="1"/>
  <c r="BB13"/>
  <c r="BF12"/>
  <c r="BD12"/>
  <c r="BC12"/>
  <c r="BE12" s="1"/>
  <c r="BB12"/>
  <c r="BF11"/>
  <c r="BD11"/>
  <c r="BC11"/>
  <c r="BE11" s="1"/>
  <c r="BB11"/>
  <c r="BF10"/>
  <c r="BD10"/>
  <c r="BC10"/>
  <c r="BE10" s="1"/>
  <c r="BB10"/>
  <c r="BF9"/>
  <c r="BD9"/>
  <c r="BC9"/>
  <c r="BE9" s="1"/>
  <c r="BB9"/>
  <c r="BF8"/>
  <c r="BD8"/>
  <c r="BC8"/>
  <c r="BE8" s="1"/>
  <c r="BB8"/>
  <c r="BF7"/>
  <c r="BD7"/>
  <c r="BC7"/>
  <c r="BE7" s="1"/>
  <c r="BB7"/>
  <c r="BF6"/>
  <c r="BD6"/>
  <c r="BC6"/>
  <c r="BE6" s="1"/>
  <c r="BB6"/>
  <c r="BF5"/>
  <c r="BD5"/>
  <c r="BC5"/>
  <c r="BE5" s="1"/>
  <c r="BB5"/>
  <c r="BF4"/>
  <c r="BD4"/>
  <c r="BC4"/>
  <c r="BE4" s="1"/>
  <c r="BB4"/>
  <c r="AT26"/>
  <c r="AY25"/>
  <c r="AX25"/>
  <c r="AW25"/>
  <c r="AV25"/>
  <c r="AU25"/>
  <c r="AY24"/>
  <c r="AW24"/>
  <c r="AV24"/>
  <c r="AX24" s="1"/>
  <c r="AU24"/>
  <c r="AY23"/>
  <c r="AW23"/>
  <c r="AV23"/>
  <c r="AX23" s="1"/>
  <c r="AU23"/>
  <c r="AY22"/>
  <c r="AW22"/>
  <c r="AV22"/>
  <c r="AX22" s="1"/>
  <c r="AU22"/>
  <c r="AY21"/>
  <c r="AW21"/>
  <c r="AV21"/>
  <c r="AX21" s="1"/>
  <c r="AU21"/>
  <c r="AY20"/>
  <c r="AW20"/>
  <c r="AV20"/>
  <c r="AX20" s="1"/>
  <c r="AU20"/>
  <c r="AY19"/>
  <c r="AW19"/>
  <c r="AV19"/>
  <c r="AX19" s="1"/>
  <c r="AU19"/>
  <c r="AY18"/>
  <c r="AW18"/>
  <c r="AV18"/>
  <c r="AX18" s="1"/>
  <c r="AU18"/>
  <c r="AY17"/>
  <c r="AW17"/>
  <c r="AV17"/>
  <c r="AX17" s="1"/>
  <c r="AU17"/>
  <c r="AY16"/>
  <c r="AW16"/>
  <c r="AV16"/>
  <c r="AX16" s="1"/>
  <c r="AU16"/>
  <c r="AY15"/>
  <c r="AW15"/>
  <c r="AV15"/>
  <c r="AX15" s="1"/>
  <c r="AU15"/>
  <c r="AY14"/>
  <c r="K23" i="2" s="1"/>
  <c r="H23"/>
  <c r="AW14" i="3"/>
  <c r="AV14"/>
  <c r="AU14"/>
  <c r="AY13"/>
  <c r="AW13"/>
  <c r="AV13"/>
  <c r="AX13" s="1"/>
  <c r="AU13"/>
  <c r="AY12"/>
  <c r="AW12"/>
  <c r="AV12"/>
  <c r="AX12" s="1"/>
  <c r="AU12"/>
  <c r="AY11"/>
  <c r="AW11"/>
  <c r="AV11"/>
  <c r="AX11" s="1"/>
  <c r="AU11"/>
  <c r="AY10"/>
  <c r="AW10"/>
  <c r="AV10"/>
  <c r="AX10" s="1"/>
  <c r="AU10"/>
  <c r="AY9"/>
  <c r="AW9"/>
  <c r="AV9"/>
  <c r="AX9" s="1"/>
  <c r="AU9"/>
  <c r="AY8"/>
  <c r="AW8"/>
  <c r="AV8"/>
  <c r="AX8" s="1"/>
  <c r="AU8"/>
  <c r="AY7"/>
  <c r="AW7"/>
  <c r="AV7"/>
  <c r="AX7" s="1"/>
  <c r="AU7"/>
  <c r="AY6"/>
  <c r="AW6"/>
  <c r="AV6"/>
  <c r="AX6" s="1"/>
  <c r="AU6"/>
  <c r="AY5"/>
  <c r="AW5"/>
  <c r="AV5"/>
  <c r="AX5" s="1"/>
  <c r="AU5"/>
  <c r="AY4"/>
  <c r="AW4"/>
  <c r="AV4"/>
  <c r="AX4" s="1"/>
  <c r="AU4"/>
  <c r="AM26"/>
  <c r="AR25"/>
  <c r="AQ25"/>
  <c r="AP25"/>
  <c r="AO25"/>
  <c r="AN25"/>
  <c r="AR24"/>
  <c r="AP24"/>
  <c r="AO24"/>
  <c r="AQ24" s="1"/>
  <c r="AN24"/>
  <c r="AR23"/>
  <c r="AP23"/>
  <c r="AO23"/>
  <c r="AQ23" s="1"/>
  <c r="AN23"/>
  <c r="AR22"/>
  <c r="AP22"/>
  <c r="AO22"/>
  <c r="AQ22" s="1"/>
  <c r="AN22"/>
  <c r="AR21"/>
  <c r="AP21"/>
  <c r="AO21"/>
  <c r="AQ21" s="1"/>
  <c r="AN21"/>
  <c r="AR20"/>
  <c r="AP20"/>
  <c r="AO20"/>
  <c r="AQ20" s="1"/>
  <c r="AN20"/>
  <c r="AR19"/>
  <c r="AP19"/>
  <c r="AO19"/>
  <c r="AQ19" s="1"/>
  <c r="AN19"/>
  <c r="AR18"/>
  <c r="AP18"/>
  <c r="AO18"/>
  <c r="AQ18" s="1"/>
  <c r="AN18"/>
  <c r="AR17"/>
  <c r="AP17"/>
  <c r="AO17"/>
  <c r="AQ17" s="1"/>
  <c r="AN17"/>
  <c r="AR16"/>
  <c r="AP16"/>
  <c r="AO16"/>
  <c r="AQ16" s="1"/>
  <c r="AN16"/>
  <c r="AR15"/>
  <c r="AP15"/>
  <c r="AO15"/>
  <c r="AQ15" s="1"/>
  <c r="AN15"/>
  <c r="AR14"/>
  <c r="K22" i="2" s="1"/>
  <c r="H22"/>
  <c r="AP14" i="3"/>
  <c r="AO14"/>
  <c r="AN14"/>
  <c r="AR13"/>
  <c r="AP13"/>
  <c r="AO13"/>
  <c r="AQ13" s="1"/>
  <c r="AN13"/>
  <c r="AR12"/>
  <c r="AP12"/>
  <c r="AO12"/>
  <c r="AQ12" s="1"/>
  <c r="AN12"/>
  <c r="AR11"/>
  <c r="AP11"/>
  <c r="AO11"/>
  <c r="AQ11" s="1"/>
  <c r="AN11"/>
  <c r="AR10"/>
  <c r="AP10"/>
  <c r="AO10"/>
  <c r="AQ10" s="1"/>
  <c r="AN10"/>
  <c r="AR9"/>
  <c r="AP9"/>
  <c r="AO9"/>
  <c r="AQ9" s="1"/>
  <c r="AN9"/>
  <c r="AR8"/>
  <c r="AP8"/>
  <c r="AO8"/>
  <c r="AQ8" s="1"/>
  <c r="AN8"/>
  <c r="AR7"/>
  <c r="AP7"/>
  <c r="AO7"/>
  <c r="AQ7" s="1"/>
  <c r="AN7"/>
  <c r="AR6"/>
  <c r="AP6"/>
  <c r="AO6"/>
  <c r="AQ6" s="1"/>
  <c r="AN6"/>
  <c r="AR5"/>
  <c r="AP5"/>
  <c r="AO5"/>
  <c r="AQ5" s="1"/>
  <c r="AN5"/>
  <c r="AR4"/>
  <c r="AP4"/>
  <c r="AO4"/>
  <c r="AQ4" s="1"/>
  <c r="AN4"/>
  <c r="AF26"/>
  <c r="AK25"/>
  <c r="AJ25"/>
  <c r="AI25"/>
  <c r="AH25"/>
  <c r="AG25"/>
  <c r="AK24"/>
  <c r="AI24"/>
  <c r="AH24"/>
  <c r="AJ24" s="1"/>
  <c r="AG24"/>
  <c r="AK23"/>
  <c r="AI23"/>
  <c r="AH23"/>
  <c r="AJ23" s="1"/>
  <c r="AG23"/>
  <c r="AK22"/>
  <c r="AI22"/>
  <c r="AH22"/>
  <c r="AJ22" s="1"/>
  <c r="AG22"/>
  <c r="AK21"/>
  <c r="AI21"/>
  <c r="AH21"/>
  <c r="AJ21" s="1"/>
  <c r="AG21"/>
  <c r="AK20"/>
  <c r="AI20"/>
  <c r="AH20"/>
  <c r="AJ20" s="1"/>
  <c r="AG20"/>
  <c r="AK19"/>
  <c r="AI19"/>
  <c r="AH19"/>
  <c r="AJ19" s="1"/>
  <c r="AG19"/>
  <c r="AK18"/>
  <c r="AI18"/>
  <c r="AH18"/>
  <c r="AJ18" s="1"/>
  <c r="AG18"/>
  <c r="AK17"/>
  <c r="AI17"/>
  <c r="AH17"/>
  <c r="AJ17" s="1"/>
  <c r="AG17"/>
  <c r="AK16"/>
  <c r="AI16"/>
  <c r="AH16"/>
  <c r="AJ16" s="1"/>
  <c r="AG16"/>
  <c r="AK15"/>
  <c r="AI15"/>
  <c r="AH15"/>
  <c r="AJ15" s="1"/>
  <c r="AG15"/>
  <c r="AK14"/>
  <c r="K21" i="2" s="1"/>
  <c r="H21"/>
  <c r="AI14" i="3"/>
  <c r="AH14"/>
  <c r="AG14"/>
  <c r="AK13"/>
  <c r="AI13"/>
  <c r="AH13"/>
  <c r="AJ13" s="1"/>
  <c r="AG13"/>
  <c r="AK12"/>
  <c r="AI12"/>
  <c r="AH12"/>
  <c r="AJ12" s="1"/>
  <c r="AG12"/>
  <c r="AK11"/>
  <c r="AI11"/>
  <c r="AH11"/>
  <c r="AJ11" s="1"/>
  <c r="AG11"/>
  <c r="AK10"/>
  <c r="AI10"/>
  <c r="AH10"/>
  <c r="AJ10" s="1"/>
  <c r="AG10"/>
  <c r="AK9"/>
  <c r="AI9"/>
  <c r="AH9"/>
  <c r="AJ9" s="1"/>
  <c r="AG9"/>
  <c r="AK8"/>
  <c r="AI8"/>
  <c r="AH8"/>
  <c r="AJ8" s="1"/>
  <c r="AG8"/>
  <c r="AK7"/>
  <c r="AI7"/>
  <c r="AH7"/>
  <c r="AJ7" s="1"/>
  <c r="AG7"/>
  <c r="AK6"/>
  <c r="AI6"/>
  <c r="AH6"/>
  <c r="AJ6" s="1"/>
  <c r="AG6"/>
  <c r="AK5"/>
  <c r="AI5"/>
  <c r="AH5"/>
  <c r="AJ5" s="1"/>
  <c r="AG5"/>
  <c r="AK4"/>
  <c r="AI4"/>
  <c r="AH4"/>
  <c r="AJ4" s="1"/>
  <c r="AG4"/>
  <c r="Y26"/>
  <c r="AD25"/>
  <c r="AC25"/>
  <c r="AB25"/>
  <c r="AA25"/>
  <c r="Z25"/>
  <c r="AD24"/>
  <c r="AB24"/>
  <c r="AA24"/>
  <c r="AC24" s="1"/>
  <c r="Z24"/>
  <c r="AD23"/>
  <c r="AB23"/>
  <c r="AA23"/>
  <c r="AC23" s="1"/>
  <c r="Z23"/>
  <c r="AD22"/>
  <c r="AB22"/>
  <c r="AA22"/>
  <c r="AC22" s="1"/>
  <c r="Z22"/>
  <c r="AD21"/>
  <c r="AB21"/>
  <c r="AA21"/>
  <c r="AC21" s="1"/>
  <c r="Z21"/>
  <c r="AD20"/>
  <c r="AB20"/>
  <c r="AA20"/>
  <c r="AC20" s="1"/>
  <c r="Z20"/>
  <c r="AD19"/>
  <c r="AB19"/>
  <c r="AA19"/>
  <c r="AC19" s="1"/>
  <c r="Z19"/>
  <c r="AD18"/>
  <c r="AB18"/>
  <c r="AA18"/>
  <c r="AC18" s="1"/>
  <c r="Z18"/>
  <c r="AD17"/>
  <c r="AB17"/>
  <c r="AA17"/>
  <c r="AC17" s="1"/>
  <c r="Z17"/>
  <c r="AD16"/>
  <c r="AB16"/>
  <c r="AA16"/>
  <c r="AC16" s="1"/>
  <c r="Z16"/>
  <c r="AD15"/>
  <c r="AB15"/>
  <c r="AA15"/>
  <c r="AC15" s="1"/>
  <c r="Z15"/>
  <c r="AD14"/>
  <c r="K20" i="2" s="1"/>
  <c r="H20"/>
  <c r="AB14" i="3"/>
  <c r="AA14"/>
  <c r="Z14"/>
  <c r="AD13"/>
  <c r="AB13"/>
  <c r="AA13"/>
  <c r="AC13" s="1"/>
  <c r="Z13"/>
  <c r="AD12"/>
  <c r="AB12"/>
  <c r="AA12"/>
  <c r="AC12" s="1"/>
  <c r="Z12"/>
  <c r="AD11"/>
  <c r="AB11"/>
  <c r="AA11"/>
  <c r="AC11" s="1"/>
  <c r="Z11"/>
  <c r="AD10"/>
  <c r="AB10"/>
  <c r="AA10"/>
  <c r="AC10" s="1"/>
  <c r="Z10"/>
  <c r="AD9"/>
  <c r="AB9"/>
  <c r="AA9"/>
  <c r="AC9" s="1"/>
  <c r="Z9"/>
  <c r="AD8"/>
  <c r="AB8"/>
  <c r="AA8"/>
  <c r="AC8" s="1"/>
  <c r="Z8"/>
  <c r="AD7"/>
  <c r="AB7"/>
  <c r="AA7"/>
  <c r="AC7" s="1"/>
  <c r="Z7"/>
  <c r="AD6"/>
  <c r="AB6"/>
  <c r="AA6"/>
  <c r="AC6" s="1"/>
  <c r="Z6"/>
  <c r="AD5"/>
  <c r="AB5"/>
  <c r="AA5"/>
  <c r="AC5" s="1"/>
  <c r="Z5"/>
  <c r="AD4"/>
  <c r="AB4"/>
  <c r="AA4"/>
  <c r="AC4" s="1"/>
  <c r="Z4"/>
  <c r="R26"/>
  <c r="W25"/>
  <c r="U25"/>
  <c r="T25"/>
  <c r="S25"/>
  <c r="W24"/>
  <c r="U24"/>
  <c r="T24"/>
  <c r="S24"/>
  <c r="W23"/>
  <c r="U23"/>
  <c r="T23"/>
  <c r="S23"/>
  <c r="W22"/>
  <c r="U22"/>
  <c r="T22"/>
  <c r="S22"/>
  <c r="W21"/>
  <c r="U21"/>
  <c r="T21"/>
  <c r="S21"/>
  <c r="W20"/>
  <c r="U20"/>
  <c r="T20"/>
  <c r="S20"/>
  <c r="W19"/>
  <c r="U19"/>
  <c r="T19"/>
  <c r="S19"/>
  <c r="W18"/>
  <c r="U18"/>
  <c r="T18"/>
  <c r="S18"/>
  <c r="W17"/>
  <c r="U17"/>
  <c r="T17"/>
  <c r="S17"/>
  <c r="W16"/>
  <c r="U16"/>
  <c r="T16"/>
  <c r="S16"/>
  <c r="W15"/>
  <c r="U15"/>
  <c r="T15"/>
  <c r="S15"/>
  <c r="W14"/>
  <c r="K19" i="2" s="1"/>
  <c r="H19"/>
  <c r="U14" i="3"/>
  <c r="T14"/>
  <c r="F19" i="2" s="1"/>
  <c r="S14" i="3"/>
  <c r="W13"/>
  <c r="U13"/>
  <c r="T13"/>
  <c r="S13"/>
  <c r="W12"/>
  <c r="U12"/>
  <c r="T12"/>
  <c r="S12"/>
  <c r="W11"/>
  <c r="U11"/>
  <c r="T11"/>
  <c r="S11"/>
  <c r="W10"/>
  <c r="U10"/>
  <c r="T10"/>
  <c r="S10"/>
  <c r="W9"/>
  <c r="U9"/>
  <c r="T9"/>
  <c r="S9"/>
  <c r="W8"/>
  <c r="U8"/>
  <c r="T8"/>
  <c r="S8"/>
  <c r="W7"/>
  <c r="U7"/>
  <c r="T7"/>
  <c r="S7"/>
  <c r="W6"/>
  <c r="U6"/>
  <c r="T6"/>
  <c r="S6"/>
  <c r="W5"/>
  <c r="U5"/>
  <c r="T5"/>
  <c r="S5"/>
  <c r="W4"/>
  <c r="U4"/>
  <c r="T4"/>
  <c r="S4"/>
  <c r="K26"/>
  <c r="P25"/>
  <c r="O25"/>
  <c r="N25"/>
  <c r="L25"/>
  <c r="P24"/>
  <c r="N24"/>
  <c r="L24"/>
  <c r="P23"/>
  <c r="N23"/>
  <c r="L23"/>
  <c r="P22"/>
  <c r="N22"/>
  <c r="L22"/>
  <c r="P21"/>
  <c r="N21"/>
  <c r="L21"/>
  <c r="P20"/>
  <c r="N20"/>
  <c r="L20"/>
  <c r="P19"/>
  <c r="N19"/>
  <c r="L19"/>
  <c r="P18"/>
  <c r="N18"/>
  <c r="L18"/>
  <c r="P17"/>
  <c r="N17"/>
  <c r="L17"/>
  <c r="P16"/>
  <c r="N16"/>
  <c r="L16"/>
  <c r="P15"/>
  <c r="N15"/>
  <c r="L15"/>
  <c r="P14"/>
  <c r="K18" i="2" s="1"/>
  <c r="H18"/>
  <c r="N14" i="3"/>
  <c r="F18" i="2"/>
  <c r="L14" i="3"/>
  <c r="P13"/>
  <c r="N13"/>
  <c r="L13"/>
  <c r="P12"/>
  <c r="N12"/>
  <c r="L12"/>
  <c r="P11"/>
  <c r="N11"/>
  <c r="L11"/>
  <c r="P10"/>
  <c r="N10"/>
  <c r="L10"/>
  <c r="P9"/>
  <c r="N9"/>
  <c r="L9"/>
  <c r="P8"/>
  <c r="N8"/>
  <c r="L8"/>
  <c r="P7"/>
  <c r="N7"/>
  <c r="L7"/>
  <c r="P6"/>
  <c r="N6"/>
  <c r="L6"/>
  <c r="P5"/>
  <c r="N5"/>
  <c r="L5"/>
  <c r="P4"/>
  <c r="N4"/>
  <c r="L4"/>
  <c r="D26"/>
  <c r="I25"/>
  <c r="H25"/>
  <c r="G25"/>
  <c r="F25"/>
  <c r="E25"/>
  <c r="I24"/>
  <c r="G24"/>
  <c r="F24"/>
  <c r="E24"/>
  <c r="I23"/>
  <c r="G23"/>
  <c r="F23"/>
  <c r="E23"/>
  <c r="I22"/>
  <c r="G22"/>
  <c r="F22"/>
  <c r="E22"/>
  <c r="I21"/>
  <c r="G21"/>
  <c r="F21"/>
  <c r="E21"/>
  <c r="I20"/>
  <c r="G20"/>
  <c r="F20"/>
  <c r="E20"/>
  <c r="I19"/>
  <c r="G19"/>
  <c r="F19"/>
  <c r="E19"/>
  <c r="I18"/>
  <c r="G18"/>
  <c r="F18"/>
  <c r="E18"/>
  <c r="I17"/>
  <c r="G17"/>
  <c r="F17"/>
  <c r="E17"/>
  <c r="I16"/>
  <c r="G16"/>
  <c r="F16"/>
  <c r="E16"/>
  <c r="I15"/>
  <c r="G15"/>
  <c r="F15"/>
  <c r="E15"/>
  <c r="I14"/>
  <c r="G14"/>
  <c r="F14"/>
  <c r="E14"/>
  <c r="I13"/>
  <c r="G13"/>
  <c r="F13"/>
  <c r="E13"/>
  <c r="I12"/>
  <c r="G12"/>
  <c r="F12"/>
  <c r="E12"/>
  <c r="I11"/>
  <c r="G11"/>
  <c r="F11"/>
  <c r="E11"/>
  <c r="I10"/>
  <c r="G10"/>
  <c r="F10"/>
  <c r="E10"/>
  <c r="I9"/>
  <c r="G9"/>
  <c r="F9"/>
  <c r="E9"/>
  <c r="I8"/>
  <c r="G8"/>
  <c r="F8"/>
  <c r="E8"/>
  <c r="I7"/>
  <c r="G7"/>
  <c r="F7"/>
  <c r="E7"/>
  <c r="I6"/>
  <c r="G6"/>
  <c r="F6"/>
  <c r="E6"/>
  <c r="I5"/>
  <c r="G5"/>
  <c r="F5"/>
  <c r="E5"/>
  <c r="I4"/>
  <c r="K17" i="2" s="1"/>
  <c r="H17"/>
  <c r="G4" i="3"/>
  <c r="F4"/>
  <c r="F17" i="2" s="1"/>
  <c r="E4" i="3"/>
  <c r="F28" i="2" l="1"/>
  <c r="M28" s="1"/>
  <c r="CG4" i="3"/>
  <c r="F27" i="2"/>
  <c r="M27" s="1"/>
  <c r="BZ4" i="3"/>
  <c r="F26" i="2"/>
  <c r="M26" s="1"/>
  <c r="F25"/>
  <c r="F23"/>
  <c r="M23" s="1"/>
  <c r="AX14" i="3"/>
  <c r="F22" i="2"/>
  <c r="M22" s="1"/>
  <c r="AQ14" i="3"/>
  <c r="F21" i="2"/>
  <c r="M21" s="1"/>
  <c r="AJ14" i="3"/>
  <c r="CN14" s="1"/>
  <c r="M25" i="1" s="1"/>
  <c r="F20" i="2"/>
  <c r="M20" s="1"/>
  <c r="AC14" i="3"/>
  <c r="M17" i="2"/>
  <c r="M18"/>
  <c r="M19"/>
  <c r="M25"/>
  <c r="F24"/>
  <c r="BE19" i="3"/>
  <c r="H24" i="2" s="1"/>
  <c r="CK4" i="3"/>
  <c r="CL5"/>
  <c r="K16" i="1" s="1"/>
  <c r="CN5" i="3"/>
  <c r="M16" i="1" s="1"/>
  <c r="CK6" i="3"/>
  <c r="CM6"/>
  <c r="CO6"/>
  <c r="O17" i="1" s="1"/>
  <c r="CL7" i="3"/>
  <c r="K18" i="1" s="1"/>
  <c r="CN7" i="3"/>
  <c r="M18" i="1" s="1"/>
  <c r="CK8" i="3"/>
  <c r="CM8"/>
  <c r="CO8"/>
  <c r="O19" i="1" s="1"/>
  <c r="CL9" i="3"/>
  <c r="K20" i="1" s="1"/>
  <c r="CN9" i="3"/>
  <c r="M20" i="1" s="1"/>
  <c r="CK10" i="3"/>
  <c r="CM10"/>
  <c r="CO10"/>
  <c r="O21" i="1" s="1"/>
  <c r="CL11" i="3"/>
  <c r="K22" i="1" s="1"/>
  <c r="CN11" i="3"/>
  <c r="M22" i="1" s="1"/>
  <c r="CK12" i="3"/>
  <c r="CM12"/>
  <c r="CO12"/>
  <c r="O23" i="1" s="1"/>
  <c r="CL13" i="3"/>
  <c r="K24" i="1" s="1"/>
  <c r="CN13" i="3"/>
  <c r="M24" i="1" s="1"/>
  <c r="CK14" i="3"/>
  <c r="CM14"/>
  <c r="CO14"/>
  <c r="O25" i="1" s="1"/>
  <c r="CL15" i="3"/>
  <c r="K26" i="1" s="1"/>
  <c r="CN15" i="3"/>
  <c r="M26" i="1" s="1"/>
  <c r="CK16" i="3"/>
  <c r="CM16"/>
  <c r="CO16"/>
  <c r="O27" i="1" s="1"/>
  <c r="CL17" i="3"/>
  <c r="K28" i="1" s="1"/>
  <c r="CN17" i="3"/>
  <c r="M28" i="1" s="1"/>
  <c r="CK18" i="3"/>
  <c r="CM18"/>
  <c r="CO18"/>
  <c r="O29" i="1" s="1"/>
  <c r="CL19" i="3"/>
  <c r="K30" i="1" s="1"/>
  <c r="CN19" i="3"/>
  <c r="M30" i="1" s="1"/>
  <c r="CK20" i="3"/>
  <c r="CM20"/>
  <c r="CO20"/>
  <c r="O31" i="1" s="1"/>
  <c r="CL21" i="3"/>
  <c r="K32" i="1" s="1"/>
  <c r="CN21" i="3"/>
  <c r="M32" i="1" s="1"/>
  <c r="CK22" i="3"/>
  <c r="CM22"/>
  <c r="CO22"/>
  <c r="O33" i="1" s="1"/>
  <c r="CL23" i="3"/>
  <c r="K34" i="1" s="1"/>
  <c r="CN23" i="3"/>
  <c r="M34" i="1" s="1"/>
  <c r="CK24" i="3"/>
  <c r="CM24"/>
  <c r="CO24"/>
  <c r="O35" i="1" s="1"/>
  <c r="CJ26" i="3"/>
  <c r="F26"/>
  <c r="H26"/>
  <c r="J5"/>
  <c r="CM5"/>
  <c r="CO5"/>
  <c r="O16" i="1" s="1"/>
  <c r="CL6" i="3"/>
  <c r="K17" i="1" s="1"/>
  <c r="CN6" i="3"/>
  <c r="M17" i="1" s="1"/>
  <c r="J7" i="3"/>
  <c r="CM7"/>
  <c r="CO7"/>
  <c r="O18" i="1" s="1"/>
  <c r="CL8" i="3"/>
  <c r="K19" i="1" s="1"/>
  <c r="CN8" i="3"/>
  <c r="M19" i="1" s="1"/>
  <c r="J9" i="3"/>
  <c r="CM9"/>
  <c r="CO9"/>
  <c r="O20" i="1" s="1"/>
  <c r="CL10" i="3"/>
  <c r="K21" i="1" s="1"/>
  <c r="CN10" i="3"/>
  <c r="M21" i="1" s="1"/>
  <c r="J11" i="3"/>
  <c r="CM11"/>
  <c r="CO11"/>
  <c r="O22" i="1" s="1"/>
  <c r="CL12" i="3"/>
  <c r="K23" i="1" s="1"/>
  <c r="CN12" i="3"/>
  <c r="M23" i="1" s="1"/>
  <c r="J13" i="3"/>
  <c r="CM13"/>
  <c r="CO13"/>
  <c r="O24" i="1" s="1"/>
  <c r="CL14" i="3"/>
  <c r="K25" i="1" s="1"/>
  <c r="J15" i="3"/>
  <c r="CM15"/>
  <c r="CO15"/>
  <c r="O26" i="1" s="1"/>
  <c r="CL16" i="3"/>
  <c r="K27" i="1" s="1"/>
  <c r="CN16" i="3"/>
  <c r="M27" i="1" s="1"/>
  <c r="J17" i="3"/>
  <c r="CM17"/>
  <c r="CO17"/>
  <c r="O28" i="1" s="1"/>
  <c r="CL18" i="3"/>
  <c r="K29" i="1" s="1"/>
  <c r="CN18" i="3"/>
  <c r="M29" i="1" s="1"/>
  <c r="J19" i="3"/>
  <c r="CM19"/>
  <c r="CO19"/>
  <c r="O30" i="1" s="1"/>
  <c r="CL20" i="3"/>
  <c r="K31" i="1" s="1"/>
  <c r="CN20" i="3"/>
  <c r="M31" i="1" s="1"/>
  <c r="J21" i="3"/>
  <c r="CM21"/>
  <c r="CO21"/>
  <c r="O32" i="1" s="1"/>
  <c r="CL22" i="3"/>
  <c r="K33" i="1" s="1"/>
  <c r="CN22" i="3"/>
  <c r="M33" i="1" s="1"/>
  <c r="J23" i="3"/>
  <c r="CM23"/>
  <c r="CO23"/>
  <c r="O34" i="1" s="1"/>
  <c r="CL24" i="3"/>
  <c r="K35" i="1" s="1"/>
  <c r="CN24" i="3"/>
  <c r="M35" i="1" s="1"/>
  <c r="J25" i="3"/>
  <c r="L26"/>
  <c r="N26"/>
  <c r="P26"/>
  <c r="Q6"/>
  <c r="Q8"/>
  <c r="Q10"/>
  <c r="Q12"/>
  <c r="Q14"/>
  <c r="Q16"/>
  <c r="Q18"/>
  <c r="Q20"/>
  <c r="T26"/>
  <c r="V26"/>
  <c r="X5"/>
  <c r="X7"/>
  <c r="X9"/>
  <c r="X11"/>
  <c r="X13"/>
  <c r="X15"/>
  <c r="X17"/>
  <c r="X19"/>
  <c r="X21"/>
  <c r="X23"/>
  <c r="X25"/>
  <c r="Z26"/>
  <c r="AB26"/>
  <c r="AD26"/>
  <c r="AE6"/>
  <c r="AE8"/>
  <c r="AE10"/>
  <c r="AE12"/>
  <c r="AE14"/>
  <c r="AE16"/>
  <c r="AE18"/>
  <c r="AE20"/>
  <c r="AE22"/>
  <c r="AE24"/>
  <c r="AH26"/>
  <c r="AJ26"/>
  <c r="AL5"/>
  <c r="AL7"/>
  <c r="AL9"/>
  <c r="AL11"/>
  <c r="AL13"/>
  <c r="AL15"/>
  <c r="AL17"/>
  <c r="AL19"/>
  <c r="AL21"/>
  <c r="AL23"/>
  <c r="AL25"/>
  <c r="AN26"/>
  <c r="AP26"/>
  <c r="AR26"/>
  <c r="AZ5"/>
  <c r="AZ7"/>
  <c r="AZ9"/>
  <c r="AZ11"/>
  <c r="AZ13"/>
  <c r="AZ15"/>
  <c r="AZ17"/>
  <c r="AZ19"/>
  <c r="AZ21"/>
  <c r="AZ23"/>
  <c r="BB26"/>
  <c r="BD26"/>
  <c r="BF26"/>
  <c r="BG6"/>
  <c r="BG8"/>
  <c r="BG10"/>
  <c r="BG12"/>
  <c r="BG14"/>
  <c r="BG16"/>
  <c r="BG18"/>
  <c r="BG20"/>
  <c r="BG22"/>
  <c r="BG24"/>
  <c r="BJ26"/>
  <c r="BL26"/>
  <c r="BN5"/>
  <c r="BN7"/>
  <c r="BN9"/>
  <c r="BN11"/>
  <c r="BN13"/>
  <c r="BN15"/>
  <c r="BN17"/>
  <c r="BN19"/>
  <c r="BN21"/>
  <c r="BN23"/>
  <c r="BN25"/>
  <c r="BP26"/>
  <c r="CB5"/>
  <c r="CB7"/>
  <c r="CB9"/>
  <c r="CB11"/>
  <c r="CB13"/>
  <c r="CB15"/>
  <c r="CB17"/>
  <c r="CB19"/>
  <c r="CB21"/>
  <c r="CB23"/>
  <c r="CI6"/>
  <c r="CI8"/>
  <c r="CI10"/>
  <c r="CI12"/>
  <c r="CI14"/>
  <c r="CI16"/>
  <c r="CI18"/>
  <c r="CI20"/>
  <c r="CI22"/>
  <c r="CI24"/>
  <c r="CL4"/>
  <c r="K15" i="1" s="1"/>
  <c r="CN4" i="3"/>
  <c r="M15" i="1" s="1"/>
  <c r="G26" i="3"/>
  <c r="I26"/>
  <c r="CL25"/>
  <c r="K36" i="1" s="1"/>
  <c r="CN25" i="3"/>
  <c r="M26"/>
  <c r="O26"/>
  <c r="Q9"/>
  <c r="Q13"/>
  <c r="Q15"/>
  <c r="Q17"/>
  <c r="Q19"/>
  <c r="Q21"/>
  <c r="Q23"/>
  <c r="Q25"/>
  <c r="AO26"/>
  <c r="AQ26"/>
  <c r="AS5"/>
  <c r="AS7"/>
  <c r="AS9"/>
  <c r="AS11"/>
  <c r="AS13"/>
  <c r="AS15"/>
  <c r="AS17"/>
  <c r="AS19"/>
  <c r="AS21"/>
  <c r="AS23"/>
  <c r="AS25"/>
  <c r="AU26"/>
  <c r="AW26"/>
  <c r="AY26"/>
  <c r="AZ24"/>
  <c r="BQ26"/>
  <c r="BS26"/>
  <c r="BU5"/>
  <c r="BU7"/>
  <c r="BU9"/>
  <c r="BU11"/>
  <c r="BU13"/>
  <c r="BU15"/>
  <c r="BU17"/>
  <c r="BU19"/>
  <c r="BU21"/>
  <c r="BU23"/>
  <c r="BU25"/>
  <c r="CE26"/>
  <c r="CG26"/>
  <c r="CI5"/>
  <c r="CI7"/>
  <c r="CI9"/>
  <c r="CI11"/>
  <c r="CI13"/>
  <c r="CI15"/>
  <c r="CI17"/>
  <c r="CI19"/>
  <c r="CI21"/>
  <c r="CI23"/>
  <c r="CI25"/>
  <c r="CM4"/>
  <c r="CO4"/>
  <c r="O15" i="1" s="1"/>
  <c r="CK5" i="3"/>
  <c r="CK7"/>
  <c r="CK9"/>
  <c r="CK11"/>
  <c r="CK13"/>
  <c r="CK15"/>
  <c r="CK17"/>
  <c r="CK19"/>
  <c r="CK21"/>
  <c r="CK23"/>
  <c r="CM25"/>
  <c r="CO25"/>
  <c r="O36" i="1" s="1"/>
  <c r="CD26" i="3"/>
  <c r="CF26"/>
  <c r="CH26"/>
  <c r="BX26"/>
  <c r="BZ26"/>
  <c r="CB25"/>
  <c r="AV26"/>
  <c r="AX26"/>
  <c r="AZ25"/>
  <c r="CK25"/>
  <c r="BW26"/>
  <c r="BY26"/>
  <c r="CA26"/>
  <c r="CB6"/>
  <c r="CB8"/>
  <c r="CB10"/>
  <c r="CB12"/>
  <c r="CB14"/>
  <c r="CB16"/>
  <c r="CB18"/>
  <c r="CB20"/>
  <c r="CB22"/>
  <c r="CB24"/>
  <c r="BR26"/>
  <c r="BT26"/>
  <c r="BU6"/>
  <c r="BU8"/>
  <c r="BU10"/>
  <c r="BU12"/>
  <c r="BU14"/>
  <c r="BU16"/>
  <c r="BU18"/>
  <c r="BU20"/>
  <c r="BU22"/>
  <c r="BU24"/>
  <c r="BI26"/>
  <c r="BK26"/>
  <c r="BM26"/>
  <c r="BN6"/>
  <c r="BN8"/>
  <c r="BN10"/>
  <c r="BN12"/>
  <c r="BN14"/>
  <c r="BN16"/>
  <c r="BN18"/>
  <c r="BN20"/>
  <c r="BN22"/>
  <c r="BN24"/>
  <c r="BC26"/>
  <c r="BE26"/>
  <c r="BG5"/>
  <c r="BG7"/>
  <c r="BG9"/>
  <c r="BG11"/>
  <c r="BG13"/>
  <c r="BG15"/>
  <c r="BG17"/>
  <c r="BG19"/>
  <c r="BG21"/>
  <c r="BG23"/>
  <c r="BG25"/>
  <c r="AZ6"/>
  <c r="AZ8"/>
  <c r="AZ10"/>
  <c r="AZ12"/>
  <c r="AZ14"/>
  <c r="AZ16"/>
  <c r="AZ18"/>
  <c r="AZ20"/>
  <c r="AZ22"/>
  <c r="AS6"/>
  <c r="AS8"/>
  <c r="AS10"/>
  <c r="AS12"/>
  <c r="AS14"/>
  <c r="AS16"/>
  <c r="AS18"/>
  <c r="AS20"/>
  <c r="AS22"/>
  <c r="AS24"/>
  <c r="AG26"/>
  <c r="AI26"/>
  <c r="AK26"/>
  <c r="AL6"/>
  <c r="AL8"/>
  <c r="AL10"/>
  <c r="AL12"/>
  <c r="AL14"/>
  <c r="AL16"/>
  <c r="AL18"/>
  <c r="AL20"/>
  <c r="AL22"/>
  <c r="AL24"/>
  <c r="AA26"/>
  <c r="AC26"/>
  <c r="AE5"/>
  <c r="AE7"/>
  <c r="AE9"/>
  <c r="AE11"/>
  <c r="AE13"/>
  <c r="AE15"/>
  <c r="AE17"/>
  <c r="AE19"/>
  <c r="AE21"/>
  <c r="AE23"/>
  <c r="AE25"/>
  <c r="S26"/>
  <c r="U26"/>
  <c r="W26"/>
  <c r="X6"/>
  <c r="X8"/>
  <c r="X10"/>
  <c r="X12"/>
  <c r="X14"/>
  <c r="X16"/>
  <c r="X18"/>
  <c r="X20"/>
  <c r="X22"/>
  <c r="X24"/>
  <c r="Q22"/>
  <c r="Q24"/>
  <c r="Q5"/>
  <c r="Q7"/>
  <c r="Q11"/>
  <c r="CI4"/>
  <c r="CI26" s="1"/>
  <c r="CB4"/>
  <c r="BU4"/>
  <c r="BU26" s="1"/>
  <c r="BN4"/>
  <c r="BG4"/>
  <c r="AZ4"/>
  <c r="AS4"/>
  <c r="AS26" s="1"/>
  <c r="AL4"/>
  <c r="AE4"/>
  <c r="X4"/>
  <c r="Q4"/>
  <c r="J4"/>
  <c r="J6"/>
  <c r="J8"/>
  <c r="J10"/>
  <c r="J12"/>
  <c r="J14"/>
  <c r="J16"/>
  <c r="J18"/>
  <c r="J20"/>
  <c r="J22"/>
  <c r="E26"/>
  <c r="J24"/>
  <c r="CP24" l="1"/>
  <c r="M24" i="2"/>
  <c r="CP22" i="3"/>
  <c r="CP10"/>
  <c r="CM26"/>
  <c r="BG26"/>
  <c r="CP7"/>
  <c r="O38" i="1"/>
  <c r="CP18" i="3"/>
  <c r="CP14"/>
  <c r="CP6"/>
  <c r="AE26"/>
  <c r="CN26"/>
  <c r="M36" i="1"/>
  <c r="M38" s="1"/>
  <c r="Q35"/>
  <c r="Q26" i="3"/>
  <c r="Q19" i="1"/>
  <c r="Q31"/>
  <c r="Q27"/>
  <c r="Q23"/>
  <c r="K38"/>
  <c r="Q15"/>
  <c r="Q33"/>
  <c r="Q29"/>
  <c r="Q25"/>
  <c r="Q21"/>
  <c r="Q17"/>
  <c r="Q32"/>
  <c r="Q28"/>
  <c r="Q24"/>
  <c r="Q20"/>
  <c r="Q16"/>
  <c r="Q34"/>
  <c r="Q30"/>
  <c r="Q26"/>
  <c r="Q22"/>
  <c r="Q18"/>
  <c r="CP20" i="3"/>
  <c r="CP16"/>
  <c r="CP12"/>
  <c r="CP8"/>
  <c r="AL26"/>
  <c r="BN26"/>
  <c r="CP11"/>
  <c r="CP5"/>
  <c r="CK26"/>
  <c r="CO26"/>
  <c r="CL26"/>
  <c r="CP21"/>
  <c r="CP17"/>
  <c r="CP13"/>
  <c r="CP23"/>
  <c r="CP19"/>
  <c r="CP15"/>
  <c r="CP9"/>
  <c r="CP4"/>
  <c r="AZ26"/>
  <c r="CP25"/>
  <c r="CB26"/>
  <c r="X26"/>
  <c r="J26"/>
  <c r="Q36" i="1" l="1"/>
  <c r="Q38" s="1"/>
  <c r="CP26" i="3"/>
  <c r="D30" i="2"/>
  <c r="F30"/>
  <c r="H30"/>
  <c r="K30"/>
  <c r="M30"/>
  <c r="Y34" s="1"/>
  <c r="O30"/>
  <c r="H38" i="1"/>
  <c r="Y37" i="2" l="1"/>
  <c r="Y38" s="1"/>
  <c r="Z34"/>
  <c r="Y40"/>
  <c r="AC37" s="1"/>
  <c r="AD37" s="1"/>
  <c r="AC38" s="1"/>
  <c r="AD39" l="1"/>
  <c r="AC39" s="1"/>
  <c r="Z40"/>
  <c r="AA40" s="1"/>
  <c r="AB40" s="1"/>
  <c r="AE40" s="1"/>
  <c r="Z36"/>
  <c r="AA36" s="1"/>
  <c r="AB36" s="1"/>
  <c r="AE36" s="1"/>
  <c r="Z38"/>
  <c r="AA38" s="1"/>
  <c r="AB38" s="1"/>
  <c r="AE38" s="1"/>
  <c r="Y36"/>
  <c r="Z41"/>
  <c r="AA41" s="1"/>
  <c r="AB41" s="1"/>
  <c r="AE41" s="1"/>
  <c r="Y39"/>
  <c r="AC36" s="1"/>
  <c r="AD36" s="1"/>
  <c r="AE35" s="1"/>
  <c r="AG35" s="1"/>
  <c r="Z39"/>
  <c r="AA39" s="1"/>
  <c r="AB39" s="1"/>
  <c r="AE39" s="1"/>
  <c r="Z37"/>
  <c r="AA37" s="1"/>
  <c r="AB37" s="1"/>
  <c r="AE37" s="1"/>
  <c r="AG39" l="1"/>
  <c r="AF39" s="1"/>
  <c r="AH41"/>
  <c r="AG41" s="1"/>
  <c r="AR37" s="1"/>
  <c r="AI41" s="1"/>
  <c r="AH40"/>
  <c r="AL41"/>
  <c r="AK41" s="1"/>
  <c r="AG38"/>
  <c r="AF38" s="1"/>
  <c r="AN37"/>
  <c r="AM37" s="1"/>
  <c r="AG40"/>
  <c r="AF40" s="1"/>
  <c r="AG37"/>
  <c r="AF37" s="1"/>
  <c r="AQ35"/>
  <c r="AH35"/>
  <c r="AF35" s="1"/>
  <c r="AG36"/>
  <c r="AF36" s="1"/>
  <c r="AF41" l="1"/>
  <c r="AN40" s="1"/>
  <c r="AM40" s="1"/>
  <c r="AL40" s="1"/>
  <c r="AL37"/>
  <c r="AK37" s="1"/>
  <c r="AP37"/>
  <c r="AQ37" s="1"/>
  <c r="AK36" s="1"/>
  <c r="AM35"/>
  <c r="AR36"/>
  <c r="AQ36" l="1"/>
  <c r="AK39"/>
  <c r="AR35" s="1"/>
  <c r="AK38" s="1"/>
  <c r="AI36" s="1"/>
  <c r="AI40"/>
  <c r="AI39" l="1"/>
  <c r="AI38"/>
  <c r="Y29" s="1"/>
  <c r="M36" s="1"/>
  <c r="AI37"/>
  <c r="AO40" l="1"/>
  <c r="AI35"/>
  <c r="AN41" s="1"/>
  <c r="AM41" s="1"/>
</calcChain>
</file>

<file path=xl/sharedStrings.xml><?xml version="1.0" encoding="utf-8"?>
<sst xmlns="http://schemas.openxmlformats.org/spreadsheetml/2006/main" count="418" uniqueCount="241">
  <si>
    <t>The Employees' Provident Fund Scheme, 1952</t>
  </si>
  <si>
    <t>Form - 6A</t>
  </si>
  <si>
    <t>Paragarph 43</t>
  </si>
  <si>
    <t>Employees' Pension Scheme, 1995</t>
  </si>
  <si>
    <t>Annual statement of contribution for the currency period 1st April</t>
  </si>
  <si>
    <t>to 31st March</t>
  </si>
  <si>
    <t>Name &amp; Address of the Establishment</t>
  </si>
  <si>
    <t>Statutory rate of contribution</t>
  </si>
  <si>
    <t>%</t>
  </si>
  <si>
    <t>No. of members voluntarily contributing at a higher rate:</t>
  </si>
  <si>
    <t>Code No. of Establishment</t>
  </si>
  <si>
    <t>Sr. No.</t>
  </si>
  <si>
    <t>Account No.</t>
  </si>
  <si>
    <t>Name of the Member 
(in BLOCK letters)</t>
  </si>
  <si>
    <t>Wages retaining allowances (if any) &amp; DA including cash value of food concession paid during the currency period.</t>
  </si>
  <si>
    <t>Amount of Workers contribution deducted from the wages</t>
  </si>
  <si>
    <t>EPF between 10% &amp; 
8-1/3%</t>
  </si>
  <si>
    <t>Pension Fund 
8-1/3%</t>
  </si>
  <si>
    <t>Total</t>
  </si>
  <si>
    <t>Refund of Advance</t>
  </si>
  <si>
    <r>
      <t xml:space="preserve">Rate of higher voluntary </t>
    </r>
    <r>
      <rPr>
        <b/>
        <sz val="9"/>
        <rFont val="Arial"/>
        <family val="2"/>
      </rPr>
      <t>contribution</t>
    </r>
    <r>
      <rPr>
        <b/>
        <sz val="10"/>
        <rFont val="Arial"/>
        <family val="2"/>
      </rPr>
      <t xml:space="preserve"> (if any)</t>
    </r>
  </si>
  <si>
    <t>Remarks</t>
  </si>
  <si>
    <t>Grand Total Rs.</t>
  </si>
  <si>
    <t>Paragarph 35 &amp; 42</t>
  </si>
  <si>
    <t>Paragarph 19</t>
  </si>
  <si>
    <t>contribution card for currency period from 1st April</t>
  </si>
  <si>
    <t>Name/ Surname</t>
  </si>
  <si>
    <t>Father's/ Husband's Name</t>
  </si>
  <si>
    <t>Name &amp; Address of the Factory/ Establishment</t>
  </si>
  <si>
    <t>Voluntary higher rate of employee's contribution if any</t>
  </si>
  <si>
    <t>Month</t>
  </si>
  <si>
    <t>Worker's Share</t>
  </si>
  <si>
    <t>Amount of Wages</t>
  </si>
  <si>
    <t>EPF</t>
  </si>
  <si>
    <t>Employer's Share</t>
  </si>
  <si>
    <t>EPF difference between 12 % &amp; 10% (if any)</t>
  </si>
  <si>
    <t>4a</t>
  </si>
  <si>
    <t>Pension Fund (EPS) Contribution 8-1/3%</t>
  </si>
  <si>
    <t>4b</t>
  </si>
  <si>
    <t>4c</t>
  </si>
  <si>
    <t>Refund of Wages</t>
  </si>
  <si>
    <t>Period of non contributing</t>
  </si>
  <si>
    <t>From</t>
  </si>
  <si>
    <t>To</t>
  </si>
  <si>
    <t>6a</t>
  </si>
  <si>
    <t>6b</t>
  </si>
  <si>
    <t>CONTRIBUTIONS</t>
  </si>
  <si>
    <t>April</t>
  </si>
  <si>
    <t>May</t>
  </si>
  <si>
    <t>June</t>
  </si>
  <si>
    <t>July</t>
  </si>
  <si>
    <t>August</t>
  </si>
  <si>
    <t>September</t>
  </si>
  <si>
    <t>October</t>
  </si>
  <si>
    <t>November</t>
  </si>
  <si>
    <t>December</t>
  </si>
  <si>
    <t>January</t>
  </si>
  <si>
    <t>February</t>
  </si>
  <si>
    <t>March</t>
  </si>
  <si>
    <t>Other</t>
  </si>
  <si>
    <t>Form - 3A</t>
  </si>
  <si>
    <t>Certified that the total difference between the total of the contribution shown under col (3) and (4) of the table of reverse and that arrived arrived at on the total wages shown</t>
  </si>
  <si>
    <t>in col (2) at the prescribed rate is solely due to the rounding off contribution to the nearest rupees under the rules.</t>
  </si>
  <si>
    <t xml:space="preserve"> </t>
  </si>
  <si>
    <t>(a)</t>
  </si>
  <si>
    <t>Date of Leaving service</t>
  </si>
  <si>
    <t>(b)</t>
  </si>
  <si>
    <t>Reason for leaving service</t>
  </si>
  <si>
    <t>Certified that the total amount of contribution (both shares) indicated in this card i.e. Rs.</t>
  </si>
  <si>
    <t>has already been remitted in full in EPF A/c No. 1 and Pension Fund A/c No. 10</t>
  </si>
  <si>
    <t>Certified that the difference between the total of the contribution shown under cols. 3, 4a and 4b of the above table and that arrived at on the total wages shown in col. 2</t>
  </si>
  <si>
    <t>at the prescribed rate is solely due to rounding off of contribution to the nearest rupee under the rules.</t>
  </si>
  <si>
    <t>Signature of the employer of other authorised officer and stamp of the Factory / Establishment</t>
  </si>
  <si>
    <t>Name</t>
  </si>
  <si>
    <t>Wages</t>
  </si>
  <si>
    <t>ESI @ 1.75%</t>
  </si>
  <si>
    <t>EPF @ 12%</t>
  </si>
  <si>
    <t>Earning of Employee</t>
  </si>
  <si>
    <t>ESI 
@ 4.75%</t>
  </si>
  <si>
    <t>EPF @ 3.67%</t>
  </si>
  <si>
    <t>EPS @ 8.33%</t>
  </si>
  <si>
    <t>Dedu. from Employee</t>
  </si>
  <si>
    <t>Payment Made</t>
  </si>
  <si>
    <t>Feburary</t>
  </si>
  <si>
    <t>0000001</t>
  </si>
  <si>
    <t>0000002</t>
  </si>
  <si>
    <t>0000003</t>
  </si>
  <si>
    <t>0000004</t>
  </si>
  <si>
    <t>0000005</t>
  </si>
  <si>
    <t>0000006</t>
  </si>
  <si>
    <t>0000007</t>
  </si>
  <si>
    <t>0000008</t>
  </si>
  <si>
    <t>0000009</t>
  </si>
  <si>
    <t>0000010</t>
  </si>
  <si>
    <t>0000011</t>
  </si>
  <si>
    <t>0000012</t>
  </si>
  <si>
    <t>0000013</t>
  </si>
  <si>
    <t>0000014</t>
  </si>
  <si>
    <t>0000015</t>
  </si>
  <si>
    <t>0000016</t>
  </si>
  <si>
    <t>0000017</t>
  </si>
  <si>
    <t>0000018</t>
  </si>
  <si>
    <t>0000019</t>
  </si>
  <si>
    <t>0000020</t>
  </si>
  <si>
    <t>0000021</t>
  </si>
  <si>
    <t>0000022</t>
  </si>
  <si>
    <t>Mantu Kumar</t>
  </si>
  <si>
    <t>Rahul Kumar</t>
  </si>
  <si>
    <t>Guddu Kumar</t>
  </si>
  <si>
    <t>Kundan Kumar</t>
  </si>
  <si>
    <t>Ajit Kumar</t>
  </si>
  <si>
    <t>Sanjeev Prasad</t>
  </si>
  <si>
    <t>Dilip Kumar</t>
  </si>
  <si>
    <t>Om Prakash</t>
  </si>
  <si>
    <t>Pankaj Kumar</t>
  </si>
  <si>
    <t>Pintu Kumar</t>
  </si>
  <si>
    <t>Suraj Kumar</t>
  </si>
  <si>
    <t>Pinku Kumar</t>
  </si>
  <si>
    <t>Salary &amp; wages master</t>
  </si>
  <si>
    <t>For Financial Year 2011-2012</t>
  </si>
  <si>
    <t>11-12</t>
  </si>
  <si>
    <t>Father Name</t>
  </si>
  <si>
    <t>Late Dashrath Paswan</t>
  </si>
  <si>
    <t>Sri Vijay Prasad</t>
  </si>
  <si>
    <t>Shiv Prakash Paswan</t>
  </si>
  <si>
    <t>Sri Bharmdeo Roy</t>
  </si>
  <si>
    <t>late Gaga Prasad</t>
  </si>
  <si>
    <t>Dineshwar Prasad Gupta</t>
  </si>
  <si>
    <t>Tofani Prasad</t>
  </si>
  <si>
    <t>Jagdish Paswan</t>
  </si>
  <si>
    <t>Krishna Prasad</t>
  </si>
  <si>
    <t>Balram Prasad</t>
  </si>
  <si>
    <t>Sheo Balak Prasad</t>
  </si>
  <si>
    <t>Jagnath Prasad</t>
  </si>
  <si>
    <t>FORM NO-9 (REVISED)</t>
  </si>
  <si>
    <t>THE EMPLOYEES' PROVIDENT FUNDS SCHEME, 1952 (PARA 36(1)) AND THE EMPLOYEES' PENSION SCHEME, 1995</t>
  </si>
  <si>
    <t>(PARA 20)</t>
  </si>
  <si>
    <t>(PARA 16 (1) RETURN OF EMPLOYEES WHO ARE ENTITLED AND REQUIRED TO BECOME MEMBER OF THE</t>
  </si>
  <si>
    <t>EMPLOYEES' PROVIDENT FUND AND PENSION FUND (GUJARAT REGION)</t>
  </si>
  <si>
    <t>Name and Address of Fac/ Estt.</t>
  </si>
  <si>
    <t xml:space="preserve">Industry in which the Fact./ Estt. </t>
  </si>
  <si>
    <t>is engaged</t>
  </si>
  <si>
    <t>Date of Coverage</t>
  </si>
  <si>
    <t>If factory / Estt. Is covered under</t>
  </si>
  <si>
    <t>ESI. Act. Indicate the code no. alloted under E.S.I.C.</t>
  </si>
  <si>
    <t>Account No. GJ/</t>
  </si>
  <si>
    <t>Name of emmployee (in block capital)</t>
  </si>
  <si>
    <t>father's Name (or husband's name in case of married women</t>
  </si>
  <si>
    <t>Date of Birth</t>
  </si>
  <si>
    <t>Sex</t>
  </si>
  <si>
    <t>Date of eligibility for membership</t>
  </si>
  <si>
    <t>Total Period of previous service (Excluding period of break) as on date of joining the fund</t>
  </si>
  <si>
    <t>Machine/Folio No of Ledger Card opened</t>
  </si>
  <si>
    <t>Initials of S.S.</t>
  </si>
  <si>
    <t>Date and reason of living service</t>
  </si>
  <si>
    <t>D.C.S.S.A.A.O. / A.C. Remarks and initial on settlement</t>
  </si>
  <si>
    <t>MANTU KUMAR</t>
  </si>
  <si>
    <t>RAHUL KUMAR</t>
  </si>
  <si>
    <t>GUDDU KUMAR</t>
  </si>
  <si>
    <t>KUNDAN KUMAR</t>
  </si>
  <si>
    <t>AJIT KUMAR</t>
  </si>
  <si>
    <t>SANJEEV PRASAD</t>
  </si>
  <si>
    <t>DILIP KUMAR</t>
  </si>
  <si>
    <t>OM PRAKASH</t>
  </si>
  <si>
    <t>PANKAJ KUMAR</t>
  </si>
  <si>
    <t>PINTU KUMAR</t>
  </si>
  <si>
    <t>SURAJ KUMAR</t>
  </si>
  <si>
    <t>PINKU KUMAR</t>
  </si>
  <si>
    <t>CHANDAN KUMAR (L)</t>
  </si>
  <si>
    <t>ASHOK KUMAR</t>
  </si>
  <si>
    <t>CHANDAN KUMAR (G)</t>
  </si>
  <si>
    <t>DEPU KUMAR</t>
  </si>
  <si>
    <t>SARYU PRASAD</t>
  </si>
  <si>
    <t>KUNAL KUMAR</t>
  </si>
  <si>
    <t>RAM KISHORE</t>
  </si>
  <si>
    <t>SAKET KUMAR</t>
  </si>
  <si>
    <t>RAM PRATAP SINGH</t>
  </si>
  <si>
    <t>JAGNATH PRASAD</t>
  </si>
  <si>
    <t>SHEO BALAK PRASAD</t>
  </si>
  <si>
    <t>BALRAM PRASAD</t>
  </si>
  <si>
    <t>KRISHNA PRASAD</t>
  </si>
  <si>
    <t>JAGDISH PASWAN</t>
  </si>
  <si>
    <t>TOFANI PRASAD</t>
  </si>
  <si>
    <t>DINESHWAR PRASAD GUPTA</t>
  </si>
  <si>
    <t>LATE GAGA PRASAD</t>
  </si>
  <si>
    <t>LATE DASHRATH PASWAN</t>
  </si>
  <si>
    <t>SRI BHARMDEO ROY</t>
  </si>
  <si>
    <t>SHIV PRAKASH PASWAN</t>
  </si>
  <si>
    <t/>
  </si>
  <si>
    <t>SRI RAM PRATAP SINGH</t>
  </si>
  <si>
    <t>LATE SRI KUKHU YADAV</t>
  </si>
  <si>
    <t>PRABHU NARAYAN SINGH</t>
  </si>
  <si>
    <t>LATE SURENDRA RAI</t>
  </si>
  <si>
    <t>RAMESH SINGH</t>
  </si>
  <si>
    <t>VIJAY PRASAD</t>
  </si>
  <si>
    <t>Male</t>
  </si>
  <si>
    <t>E.S.I. Code No.  __________________</t>
  </si>
  <si>
    <t xml:space="preserve">Code No.   /   </t>
  </si>
  <si>
    <t>NIL</t>
  </si>
  <si>
    <t>ONLY</t>
  </si>
  <si>
    <t>FOUR</t>
  </si>
  <si>
    <t>FIVE</t>
  </si>
  <si>
    <t>SIX</t>
  </si>
  <si>
    <t>SEVEN</t>
  </si>
  <si>
    <t>EIGHT</t>
  </si>
  <si>
    <t>NINE</t>
  </si>
  <si>
    <t>TEN</t>
  </si>
  <si>
    <t>ELEVEN</t>
  </si>
  <si>
    <t>TWELVE</t>
  </si>
  <si>
    <t>THIRTEEN</t>
  </si>
  <si>
    <t>FOURTEEN</t>
  </si>
  <si>
    <t>FIFTEEN</t>
  </si>
  <si>
    <t>SIXTEEN</t>
  </si>
  <si>
    <t>SEVENTEEN</t>
  </si>
  <si>
    <t>EIGHTEEN</t>
  </si>
  <si>
    <t>NINTEEN</t>
  </si>
  <si>
    <t>TWENTY</t>
  </si>
  <si>
    <t>ONE</t>
  </si>
  <si>
    <t>TWO</t>
  </si>
  <si>
    <t>THREE</t>
  </si>
  <si>
    <t>SIXTY</t>
  </si>
  <si>
    <t>SEVENTY</t>
  </si>
  <si>
    <t>EIGHTY</t>
  </si>
  <si>
    <t>NINETY</t>
  </si>
  <si>
    <t>HUNDRED</t>
  </si>
  <si>
    <t>THOUSAND</t>
  </si>
  <si>
    <t>LAKH</t>
  </si>
  <si>
    <t>THIRTY</t>
  </si>
  <si>
    <t>FORTY</t>
  </si>
  <si>
    <t>FIFTY</t>
  </si>
  <si>
    <t>LEFTMOST</t>
  </si>
  <si>
    <t>MULTIPLE</t>
  </si>
  <si>
    <t>TOTAL</t>
  </si>
  <si>
    <t>DIFFERENCE</t>
  </si>
  <si>
    <t>NOTE:</t>
  </si>
  <si>
    <t>FILL DATA IN GREEN CELL ONLY</t>
  </si>
  <si>
    <t>YOU CAN CHANGE DATA IN</t>
  </si>
  <si>
    <t>GREEN CELL ONLY</t>
  </si>
  <si>
    <t>THANKING YOU</t>
  </si>
  <si>
    <t>saketk20@gmail.com</t>
  </si>
  <si>
    <t>if any suggestion kindly send me feedback</t>
  </si>
</sst>
</file>

<file path=xl/styles.xml><?xml version="1.0" encoding="utf-8"?>
<styleSheet xmlns="http://schemas.openxmlformats.org/spreadsheetml/2006/main">
  <fonts count="19">
    <font>
      <sz val="10"/>
      <name val="Arial"/>
    </font>
    <font>
      <b/>
      <sz val="12"/>
      <name val="Arial"/>
      <family val="2"/>
    </font>
    <font>
      <b/>
      <sz val="10"/>
      <color indexed="9"/>
      <name val="Arial"/>
      <family val="2"/>
    </font>
    <font>
      <b/>
      <sz val="10"/>
      <name val="Arial"/>
      <family val="2"/>
    </font>
    <font>
      <b/>
      <sz val="9"/>
      <name val="Arial"/>
      <family val="2"/>
    </font>
    <font>
      <b/>
      <sz val="9.5"/>
      <name val="Arial"/>
      <family val="2"/>
    </font>
    <font>
      <sz val="10"/>
      <name val="Arial"/>
      <family val="2"/>
    </font>
    <font>
      <sz val="9"/>
      <name val="Arial"/>
      <family val="2"/>
    </font>
    <font>
      <b/>
      <i/>
      <sz val="10"/>
      <name val="Arial"/>
      <family val="2"/>
    </font>
    <font>
      <b/>
      <i/>
      <u/>
      <sz val="11"/>
      <name val="Arial"/>
      <family val="2"/>
    </font>
    <font>
      <i/>
      <sz val="10"/>
      <name val="Arial"/>
      <family val="2"/>
    </font>
    <font>
      <i/>
      <sz val="9"/>
      <name val="Arial"/>
      <family val="2"/>
    </font>
    <font>
      <sz val="10"/>
      <name val="Calibri"/>
      <family val="2"/>
      <scheme val="minor"/>
    </font>
    <font>
      <b/>
      <sz val="10"/>
      <name val="Calibri"/>
      <family val="2"/>
      <scheme val="minor"/>
    </font>
    <font>
      <b/>
      <i/>
      <sz val="10"/>
      <color theme="1"/>
      <name val="Calibri"/>
      <family val="2"/>
      <scheme val="minor"/>
    </font>
    <font>
      <sz val="10"/>
      <color rgb="FFFF0000"/>
      <name val="Arial"/>
      <family val="2"/>
    </font>
    <font>
      <b/>
      <i/>
      <sz val="12"/>
      <color theme="6" tint="-0.499984740745262"/>
      <name val="Arial"/>
      <family val="2"/>
    </font>
    <font>
      <u/>
      <sz val="12"/>
      <color theme="10"/>
      <name val="Arial"/>
      <family val="2"/>
    </font>
    <font>
      <i/>
      <sz val="10"/>
      <color rgb="FF0070C0"/>
      <name val="Arial"/>
      <family val="2"/>
    </font>
  </fonts>
  <fills count="6">
    <fill>
      <patternFill patternType="none"/>
    </fill>
    <fill>
      <patternFill patternType="gray125"/>
    </fill>
    <fill>
      <patternFill patternType="solid">
        <fgColor indexed="8"/>
        <bgColor indexed="64"/>
      </patternFill>
    </fill>
    <fill>
      <patternFill patternType="solid">
        <fgColor rgb="FFFFFF00"/>
        <bgColor indexed="64"/>
      </patternFill>
    </fill>
    <fill>
      <patternFill patternType="solid">
        <fgColor rgb="FFFFC000"/>
        <bgColor indexed="64"/>
      </patternFill>
    </fill>
    <fill>
      <patternFill patternType="solid">
        <fgColor theme="6" tint="0.79998168889431442"/>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indexed="64"/>
      </left>
      <right/>
      <top style="thin">
        <color indexed="64"/>
      </top>
      <bottom style="medium">
        <color indexed="64"/>
      </bottom>
      <diagonal/>
    </border>
    <border>
      <left style="thin">
        <color indexed="64"/>
      </left>
      <right/>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220">
    <xf numFmtId="0" fontId="0" fillId="0" borderId="0" xfId="0"/>
    <xf numFmtId="0" fontId="0" fillId="0" borderId="2" xfId="0" applyBorder="1" applyAlignment="1" applyProtection="1">
      <alignment vertical="center"/>
      <protection hidden="1"/>
    </xf>
    <xf numFmtId="0" fontId="0" fillId="0" borderId="0" xfId="0" applyAlignment="1">
      <alignment vertical="center"/>
    </xf>
    <xf numFmtId="0" fontId="0" fillId="0" borderId="0" xfId="0" applyBorder="1" applyAlignment="1" applyProtection="1">
      <alignment vertical="center"/>
      <protection hidden="1"/>
    </xf>
    <xf numFmtId="0" fontId="0" fillId="0" borderId="5" xfId="0" applyBorder="1" applyAlignment="1" applyProtection="1">
      <alignment vertical="center"/>
      <protection hidden="1"/>
    </xf>
    <xf numFmtId="0" fontId="0" fillId="0" borderId="0" xfId="0" applyBorder="1" applyAlignment="1" applyProtection="1">
      <alignment horizontal="right" vertical="center"/>
      <protection hidden="1"/>
    </xf>
    <xf numFmtId="0" fontId="0" fillId="0" borderId="0" xfId="0" applyBorder="1" applyAlignment="1" applyProtection="1">
      <alignment horizontal="left" vertical="center"/>
      <protection hidden="1"/>
    </xf>
    <xf numFmtId="0" fontId="0" fillId="0" borderId="7" xfId="0" applyBorder="1" applyAlignment="1" applyProtection="1">
      <alignment horizontal="left" vertical="center"/>
      <protection hidden="1"/>
    </xf>
    <xf numFmtId="0" fontId="0" fillId="0" borderId="0"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2" fontId="0" fillId="0" borderId="6" xfId="0" applyNumberFormat="1" applyBorder="1" applyAlignment="1" applyProtection="1">
      <alignment vertical="center"/>
      <protection locked="0"/>
    </xf>
    <xf numFmtId="1" fontId="0" fillId="0" borderId="6" xfId="0" applyNumberFormat="1" applyBorder="1" applyAlignment="1" applyProtection="1">
      <alignment vertical="center"/>
      <protection locked="0"/>
    </xf>
    <xf numFmtId="0" fontId="3" fillId="0" borderId="9" xfId="0" applyFont="1" applyBorder="1" applyAlignment="1" applyProtection="1">
      <alignment horizontal="center" vertical="center" wrapText="1"/>
      <protection hidden="1"/>
    </xf>
    <xf numFmtId="0" fontId="3" fillId="0" borderId="0" xfId="0" applyFont="1" applyAlignment="1">
      <alignment horizontal="center" vertical="center" wrapText="1"/>
    </xf>
    <xf numFmtId="0" fontId="3" fillId="0" borderId="13" xfId="0" applyFont="1" applyBorder="1" applyAlignment="1" applyProtection="1">
      <alignment horizontal="center" vertical="center"/>
      <protection hidden="1"/>
    </xf>
    <xf numFmtId="0" fontId="3" fillId="0" borderId="0" xfId="0" applyFont="1" applyAlignment="1">
      <alignment horizontal="center" vertical="center"/>
    </xf>
    <xf numFmtId="0" fontId="0" fillId="0" borderId="22" xfId="0" applyBorder="1" applyAlignment="1" applyProtection="1">
      <alignment vertical="center"/>
      <protection hidden="1"/>
    </xf>
    <xf numFmtId="0" fontId="0" fillId="0" borderId="23" xfId="0" applyBorder="1" applyAlignment="1" applyProtection="1">
      <alignment vertical="center"/>
      <protection hidden="1"/>
    </xf>
    <xf numFmtId="0" fontId="0" fillId="0" borderId="0" xfId="0" applyProtection="1">
      <protection locked="0"/>
    </xf>
    <xf numFmtId="0" fontId="3" fillId="0" borderId="33" xfId="0" applyFont="1" applyBorder="1" applyProtection="1">
      <protection locked="0"/>
    </xf>
    <xf numFmtId="0" fontId="3" fillId="0" borderId="35" xfId="0" applyFont="1" applyBorder="1" applyProtection="1">
      <protection locked="0"/>
    </xf>
    <xf numFmtId="0" fontId="3" fillId="0" borderId="36" xfId="0" applyFont="1" applyBorder="1" applyProtection="1">
      <protection locked="0"/>
    </xf>
    <xf numFmtId="0" fontId="9" fillId="0" borderId="0" xfId="0" applyFont="1" applyProtection="1"/>
    <xf numFmtId="0" fontId="0" fillId="0" borderId="0" xfId="0" applyProtection="1"/>
    <xf numFmtId="0" fontId="6" fillId="0" borderId="1" xfId="0" applyFont="1" applyBorder="1" applyAlignment="1" applyProtection="1">
      <alignment horizontal="center"/>
    </xf>
    <xf numFmtId="0" fontId="0" fillId="0" borderId="2" xfId="0" applyBorder="1" applyAlignment="1" applyProtection="1">
      <alignment horizontal="center"/>
    </xf>
    <xf numFmtId="0" fontId="0" fillId="0" borderId="3" xfId="0" applyBorder="1" applyAlignment="1" applyProtection="1">
      <alignment horizontal="center"/>
    </xf>
    <xf numFmtId="0" fontId="8" fillId="3" borderId="18" xfId="0" applyFont="1" applyFill="1" applyBorder="1" applyAlignment="1" applyProtection="1">
      <alignment horizontal="center"/>
    </xf>
    <xf numFmtId="0" fontId="6" fillId="0" borderId="30" xfId="0" applyFont="1" applyBorder="1" applyProtection="1"/>
    <xf numFmtId="0" fontId="6" fillId="0" borderId="34" xfId="0" applyFont="1" applyBorder="1" applyProtection="1"/>
    <xf numFmtId="0" fontId="6" fillId="0" borderId="31" xfId="0" applyFont="1" applyBorder="1" applyAlignment="1" applyProtection="1">
      <alignment horizontal="center"/>
    </xf>
    <xf numFmtId="0" fontId="7" fillId="0" borderId="30" xfId="0" applyFont="1" applyBorder="1" applyAlignment="1" applyProtection="1">
      <alignment horizontal="center" wrapText="1"/>
    </xf>
    <xf numFmtId="0" fontId="0" fillId="0" borderId="14" xfId="0" applyBorder="1" applyProtection="1"/>
    <xf numFmtId="0" fontId="0" fillId="0" borderId="17" xfId="0" applyBorder="1" applyProtection="1"/>
    <xf numFmtId="0" fontId="0" fillId="0" borderId="19" xfId="0" applyBorder="1" applyProtection="1"/>
    <xf numFmtId="0" fontId="0" fillId="0" borderId="20" xfId="0" applyBorder="1" applyProtection="1"/>
    <xf numFmtId="0" fontId="0" fillId="0" borderId="30" xfId="0" applyBorder="1" applyProtection="1"/>
    <xf numFmtId="0" fontId="0" fillId="0" borderId="32" xfId="0" applyBorder="1" applyProtection="1"/>
    <xf numFmtId="0" fontId="3" fillId="0" borderId="37" xfId="0" applyFont="1" applyBorder="1" applyProtection="1"/>
    <xf numFmtId="0" fontId="3" fillId="0" borderId="38" xfId="0" applyFont="1" applyBorder="1" applyProtection="1"/>
    <xf numFmtId="16" fontId="8" fillId="3" borderId="18" xfId="0" quotePrefix="1" applyNumberFormat="1" applyFont="1" applyFill="1" applyBorder="1" applyAlignment="1" applyProtection="1">
      <alignment horizontal="center"/>
    </xf>
    <xf numFmtId="0" fontId="0" fillId="0" borderId="31" xfId="0" applyBorder="1" applyProtection="1"/>
    <xf numFmtId="0" fontId="10" fillId="0" borderId="8" xfId="0" applyFont="1" applyBorder="1" applyAlignment="1" applyProtection="1">
      <alignment horizontal="center"/>
    </xf>
    <xf numFmtId="0" fontId="6" fillId="0" borderId="39" xfId="0" applyFont="1" applyBorder="1" applyProtection="1"/>
    <xf numFmtId="0" fontId="0" fillId="0" borderId="1" xfId="0" applyBorder="1" applyAlignment="1" applyProtection="1">
      <alignment vertical="center"/>
    </xf>
    <xf numFmtId="0" fontId="0" fillId="0" borderId="2" xfId="0" applyBorder="1" applyAlignment="1" applyProtection="1">
      <alignment vertical="center"/>
    </xf>
    <xf numFmtId="0" fontId="0" fillId="0" borderId="0" xfId="0" applyAlignment="1" applyProtection="1">
      <alignment vertical="center"/>
    </xf>
    <xf numFmtId="0" fontId="6" fillId="0" borderId="14" xfId="0" quotePrefix="1" applyFont="1" applyBorder="1" applyProtection="1"/>
    <xf numFmtId="0" fontId="0" fillId="0" borderId="4" xfId="0" applyBorder="1" applyAlignment="1" applyProtection="1">
      <alignment vertical="center"/>
    </xf>
    <xf numFmtId="0" fontId="0" fillId="0" borderId="0" xfId="0" applyBorder="1" applyAlignment="1" applyProtection="1">
      <alignment vertical="center"/>
    </xf>
    <xf numFmtId="0" fontId="0" fillId="0" borderId="5" xfId="0" applyBorder="1" applyAlignment="1" applyProtection="1">
      <alignment vertical="center"/>
    </xf>
    <xf numFmtId="0" fontId="0" fillId="0" borderId="4" xfId="0" applyBorder="1" applyAlignment="1" applyProtection="1">
      <alignment horizontal="right" vertical="center"/>
    </xf>
    <xf numFmtId="0" fontId="0" fillId="0" borderId="0" xfId="0" applyBorder="1" applyAlignment="1" applyProtection="1">
      <alignment horizontal="right" vertical="center"/>
    </xf>
    <xf numFmtId="0" fontId="0" fillId="0" borderId="4" xfId="0" quotePrefix="1" applyBorder="1" applyAlignment="1" applyProtection="1">
      <alignment horizontal="center" vertical="center"/>
    </xf>
    <xf numFmtId="0" fontId="0" fillId="0" borderId="0" xfId="0" applyBorder="1" applyAlignment="1" applyProtection="1">
      <alignment vertical="center" wrapText="1"/>
    </xf>
    <xf numFmtId="0" fontId="0" fillId="0" borderId="6" xfId="0" applyBorder="1" applyAlignment="1" applyProtection="1">
      <alignment vertical="center"/>
    </xf>
    <xf numFmtId="0" fontId="0" fillId="0" borderId="24" xfId="0" applyBorder="1" applyAlignment="1" applyProtection="1">
      <alignment vertical="center"/>
    </xf>
    <xf numFmtId="0" fontId="0" fillId="0" borderId="4" xfId="0" applyBorder="1" applyAlignment="1" applyProtection="1">
      <alignment horizontal="center" vertical="center"/>
    </xf>
    <xf numFmtId="0" fontId="0" fillId="0" borderId="26" xfId="0" applyBorder="1" applyAlignment="1" applyProtection="1">
      <alignment horizontal="center" vertical="center"/>
    </xf>
    <xf numFmtId="0" fontId="0" fillId="0" borderId="6" xfId="0" applyBorder="1" applyAlignment="1" applyProtection="1">
      <alignment horizontal="center" vertical="center"/>
    </xf>
    <xf numFmtId="0" fontId="3" fillId="0" borderId="0" xfId="0" applyFont="1" applyAlignment="1" applyProtection="1">
      <alignment horizontal="center" vertical="center" wrapText="1"/>
    </xf>
    <xf numFmtId="0" fontId="3" fillId="0" borderId="0" xfId="0" applyFont="1" applyAlignment="1" applyProtection="1">
      <alignment horizontal="center" vertical="center"/>
    </xf>
    <xf numFmtId="0" fontId="3" fillId="0" borderId="4" xfId="0" applyFont="1" applyBorder="1" applyAlignment="1" applyProtection="1">
      <alignment horizontal="left" vertical="center"/>
    </xf>
    <xf numFmtId="0" fontId="3" fillId="0" borderId="0" xfId="0" applyFont="1" applyBorder="1" applyAlignment="1" applyProtection="1">
      <alignment horizontal="left" vertical="center"/>
    </xf>
    <xf numFmtId="2" fontId="0" fillId="0" borderId="0" xfId="0" applyNumberFormat="1" applyBorder="1" applyAlignment="1" applyProtection="1">
      <alignment vertical="center"/>
    </xf>
    <xf numFmtId="2" fontId="0" fillId="0" borderId="0" xfId="0" applyNumberFormat="1" applyBorder="1" applyAlignment="1" applyProtection="1">
      <alignment horizontal="right" vertical="center"/>
    </xf>
    <xf numFmtId="0" fontId="6" fillId="0" borderId="4" xfId="0" applyFont="1" applyBorder="1" applyAlignment="1" applyProtection="1">
      <alignment horizontal="left" vertical="center"/>
    </xf>
    <xf numFmtId="0" fontId="6" fillId="0" borderId="0" xfId="0" applyFont="1" applyBorder="1" applyAlignment="1" applyProtection="1">
      <alignment horizontal="left" vertical="center"/>
    </xf>
    <xf numFmtId="2" fontId="6" fillId="0" borderId="0" xfId="0" applyNumberFormat="1" applyFont="1" applyBorder="1" applyAlignment="1" applyProtection="1">
      <alignment vertical="center"/>
    </xf>
    <xf numFmtId="2" fontId="6" fillId="0" borderId="0" xfId="0" applyNumberFormat="1" applyFont="1" applyBorder="1" applyAlignment="1" applyProtection="1">
      <alignment horizontal="right" vertical="center"/>
    </xf>
    <xf numFmtId="2" fontId="0" fillId="0" borderId="6" xfId="0" applyNumberFormat="1" applyBorder="1" applyAlignment="1" applyProtection="1">
      <alignment vertical="center"/>
    </xf>
    <xf numFmtId="0" fontId="6" fillId="0" borderId="0" xfId="0" applyFont="1" applyBorder="1" applyAlignment="1" applyProtection="1">
      <alignment vertical="center"/>
    </xf>
    <xf numFmtId="0" fontId="0" fillId="0" borderId="21" xfId="0" applyBorder="1" applyAlignment="1" applyProtection="1">
      <alignment vertical="center"/>
    </xf>
    <xf numFmtId="0" fontId="0" fillId="0" borderId="22" xfId="0" applyBorder="1" applyAlignment="1" applyProtection="1">
      <alignment vertical="center"/>
    </xf>
    <xf numFmtId="0" fontId="3" fillId="0" borderId="22" xfId="0" applyFont="1" applyBorder="1" applyAlignment="1" applyProtection="1">
      <alignment vertical="center"/>
    </xf>
    <xf numFmtId="0" fontId="3" fillId="0" borderId="23" xfId="0" applyFont="1" applyBorder="1" applyAlignment="1" applyProtection="1">
      <alignment vertical="center"/>
    </xf>
    <xf numFmtId="0" fontId="0" fillId="0" borderId="1" xfId="0" applyBorder="1" applyAlignment="1" applyProtection="1">
      <alignment horizontal="center" vertical="center"/>
      <protection hidden="1"/>
    </xf>
    <xf numFmtId="0" fontId="0" fillId="0" borderId="18" xfId="0" applyBorder="1" applyAlignment="1" applyProtection="1">
      <alignment horizontal="center" vertical="center"/>
      <protection locked="0"/>
    </xf>
    <xf numFmtId="0" fontId="0" fillId="0" borderId="21" xfId="0" applyBorder="1" applyAlignment="1" applyProtection="1">
      <alignment horizontal="center" vertical="center"/>
      <protection hidden="1"/>
    </xf>
    <xf numFmtId="0" fontId="0" fillId="0" borderId="0" xfId="0" applyAlignment="1">
      <alignment horizontal="center" vertical="center"/>
    </xf>
    <xf numFmtId="0" fontId="12" fillId="0" borderId="0" xfId="0" applyFont="1"/>
    <xf numFmtId="0" fontId="12" fillId="0" borderId="0" xfId="0" applyFont="1" applyAlignment="1">
      <alignment horizontal="center" vertical="top" wrapText="1"/>
    </xf>
    <xf numFmtId="0" fontId="12" fillId="0" borderId="19" xfId="0" applyFont="1" applyBorder="1" applyAlignment="1">
      <alignment horizontal="center" vertical="top" wrapText="1"/>
    </xf>
    <xf numFmtId="0" fontId="12" fillId="0" borderId="19" xfId="0" applyFont="1" applyBorder="1"/>
    <xf numFmtId="0" fontId="12" fillId="0" borderId="19" xfId="0" applyFont="1" applyBorder="1" applyAlignment="1">
      <alignment horizontal="center"/>
    </xf>
    <xf numFmtId="0" fontId="12" fillId="0" borderId="0" xfId="0" applyFont="1" applyAlignment="1">
      <alignment horizontal="center"/>
    </xf>
    <xf numFmtId="14" fontId="12" fillId="0" borderId="19" xfId="0" applyNumberFormat="1" applyFont="1" applyBorder="1"/>
    <xf numFmtId="0" fontId="0" fillId="0" borderId="0" xfId="0" applyBorder="1" applyAlignment="1" applyProtection="1">
      <alignment horizontal="left" vertical="center"/>
    </xf>
    <xf numFmtId="0" fontId="0" fillId="0" borderId="0" xfId="0" applyBorder="1" applyAlignment="1" applyProtection="1">
      <alignment horizontal="center" vertical="center"/>
    </xf>
    <xf numFmtId="0" fontId="0" fillId="0" borderId="6" xfId="0" applyBorder="1" applyAlignment="1" applyProtection="1">
      <alignment horizontal="left" vertical="center"/>
    </xf>
    <xf numFmtId="2" fontId="0" fillId="3" borderId="0" xfId="0" applyNumberFormat="1" applyFill="1" applyProtection="1"/>
    <xf numFmtId="0" fontId="0" fillId="0" borderId="29"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2" fontId="0" fillId="0" borderId="19" xfId="0" applyNumberFormat="1" applyBorder="1" applyAlignment="1" applyProtection="1">
      <alignment horizontal="right" vertical="center"/>
      <protection locked="0"/>
    </xf>
    <xf numFmtId="0" fontId="0" fillId="0" borderId="1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3" fillId="0" borderId="7" xfId="0" applyFont="1" applyBorder="1" applyAlignment="1" applyProtection="1">
      <alignment horizontal="right" vertical="center"/>
      <protection hidden="1"/>
    </xf>
    <xf numFmtId="0" fontId="0" fillId="0" borderId="8" xfId="0" applyBorder="1" applyAlignment="1" applyProtection="1">
      <alignment horizontal="left" vertical="center"/>
      <protection locked="0"/>
    </xf>
    <xf numFmtId="0" fontId="0" fillId="0" borderId="29"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3" fillId="0" borderId="14" xfId="0" applyFont="1" applyBorder="1" applyAlignment="1" applyProtection="1">
      <alignment horizontal="center" vertical="center"/>
      <protection hidden="1"/>
    </xf>
    <xf numFmtId="0" fontId="3" fillId="0" borderId="17" xfId="0" applyFont="1" applyBorder="1" applyAlignment="1" applyProtection="1">
      <alignment horizontal="center" vertical="center"/>
      <protection hidden="1"/>
    </xf>
    <xf numFmtId="0" fontId="3" fillId="0" borderId="15" xfId="0" applyFont="1" applyBorder="1" applyAlignment="1" applyProtection="1">
      <alignment horizontal="center" vertical="center"/>
      <protection hidden="1"/>
    </xf>
    <xf numFmtId="0" fontId="3" fillId="0" borderId="16" xfId="0" applyFont="1" applyBorder="1" applyAlignment="1" applyProtection="1">
      <alignment horizontal="center" vertical="center"/>
      <protection hidden="1"/>
    </xf>
    <xf numFmtId="0" fontId="0" fillId="0" borderId="0" xfId="0" applyBorder="1" applyAlignment="1" applyProtection="1">
      <alignment horizontal="left" vertical="center"/>
      <protection hidden="1"/>
    </xf>
    <xf numFmtId="0" fontId="0" fillId="0" borderId="5" xfId="0" applyBorder="1" applyAlignment="1" applyProtection="1">
      <alignment horizontal="left" vertical="center"/>
      <protection hidden="1"/>
    </xf>
    <xf numFmtId="0" fontId="0" fillId="0" borderId="7" xfId="0" applyBorder="1" applyAlignment="1" applyProtection="1">
      <alignment horizontal="left" vertical="center"/>
      <protection hidden="1"/>
    </xf>
    <xf numFmtId="0" fontId="3" fillId="0" borderId="10" xfId="0" applyFont="1" applyBorder="1" applyAlignment="1" applyProtection="1">
      <alignment horizontal="center" vertical="center" wrapText="1"/>
      <protection hidden="1"/>
    </xf>
    <xf numFmtId="0" fontId="3" fillId="0" borderId="11" xfId="0" applyFont="1" applyBorder="1" applyAlignment="1" applyProtection="1">
      <alignment horizontal="center" vertical="center" wrapText="1"/>
      <protection hidden="1"/>
    </xf>
    <xf numFmtId="0" fontId="3" fillId="0" borderId="7" xfId="0" applyFont="1" applyBorder="1" applyAlignment="1" applyProtection="1">
      <alignment horizontal="center" vertical="center" wrapText="1"/>
      <protection hidden="1"/>
    </xf>
    <xf numFmtId="0" fontId="3" fillId="0" borderId="12" xfId="0" applyFont="1" applyBorder="1" applyAlignment="1" applyProtection="1">
      <alignment horizontal="center" vertical="center" wrapText="1"/>
      <protection hidden="1"/>
    </xf>
    <xf numFmtId="0" fontId="0" fillId="0" borderId="0" xfId="0" applyBorder="1" applyAlignment="1" applyProtection="1">
      <alignment horizontal="left" vertical="center" wrapText="1"/>
      <protection hidden="1"/>
    </xf>
    <xf numFmtId="0" fontId="6" fillId="0" borderId="6" xfId="0" applyFont="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1" fillId="0" borderId="2" xfId="0" applyFont="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1" fillId="0" borderId="0" xfId="0" applyFont="1" applyBorder="1" applyAlignment="1" applyProtection="1">
      <alignment horizontal="center" vertical="center"/>
      <protection hidden="1"/>
    </xf>
    <xf numFmtId="0" fontId="0" fillId="0" borderId="4" xfId="0" applyBorder="1" applyAlignment="1" applyProtection="1">
      <alignment horizontal="left" vertical="center"/>
      <protection hidden="1"/>
    </xf>
    <xf numFmtId="0" fontId="0" fillId="0" borderId="6" xfId="0" applyBorder="1" applyAlignment="1" applyProtection="1">
      <alignment horizontal="left" vertical="center" indent="1"/>
      <protection locked="0"/>
    </xf>
    <xf numFmtId="0" fontId="0" fillId="0" borderId="0" xfId="0" applyBorder="1" applyAlignment="1" applyProtection="1">
      <alignment horizontal="center" vertical="center"/>
      <protection hidden="1"/>
    </xf>
    <xf numFmtId="0" fontId="5" fillId="0" borderId="18"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3" fillId="0" borderId="27" xfId="0" applyFont="1" applyBorder="1" applyAlignment="1" applyProtection="1">
      <alignment horizontal="left" vertical="center"/>
    </xf>
    <xf numFmtId="0" fontId="3" fillId="0" borderId="8" xfId="0" applyFont="1" applyBorder="1" applyAlignment="1" applyProtection="1">
      <alignment horizontal="left" vertical="center"/>
    </xf>
    <xf numFmtId="0" fontId="3" fillId="0" borderId="28" xfId="0" applyFont="1" applyBorder="1" applyAlignment="1" applyProtection="1">
      <alignment horizontal="left" vertical="center"/>
    </xf>
    <xf numFmtId="2" fontId="0" fillId="0" borderId="29" xfId="0" applyNumberFormat="1" applyBorder="1" applyAlignment="1" applyProtection="1">
      <alignment vertical="center"/>
    </xf>
    <xf numFmtId="0" fontId="0" fillId="0" borderId="28" xfId="0" applyBorder="1" applyAlignment="1" applyProtection="1">
      <alignment vertical="center"/>
    </xf>
    <xf numFmtId="0" fontId="0" fillId="0" borderId="19" xfId="0" applyBorder="1" applyAlignment="1" applyProtection="1">
      <alignment vertical="center"/>
    </xf>
    <xf numFmtId="0" fontId="0" fillId="0" borderId="14" xfId="0" applyBorder="1" applyAlignment="1" applyProtection="1">
      <alignment vertical="center"/>
    </xf>
    <xf numFmtId="0" fontId="3" fillId="0" borderId="26"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24" xfId="0" applyFont="1" applyBorder="1" applyAlignment="1" applyProtection="1">
      <alignment horizontal="center" vertical="center"/>
    </xf>
    <xf numFmtId="0" fontId="6" fillId="0" borderId="27" xfId="0" applyFont="1" applyBorder="1" applyAlignment="1" applyProtection="1">
      <alignment horizontal="left" vertical="center"/>
    </xf>
    <xf numFmtId="0" fontId="0" fillId="0" borderId="8" xfId="0" applyBorder="1" applyAlignment="1" applyProtection="1">
      <alignment horizontal="left" vertical="center"/>
    </xf>
    <xf numFmtId="0" fontId="0" fillId="0" borderId="28" xfId="0" applyBorder="1" applyAlignment="1" applyProtection="1">
      <alignment horizontal="left" vertical="center"/>
    </xf>
    <xf numFmtId="0" fontId="6" fillId="0" borderId="26" xfId="0" applyFont="1" applyBorder="1" applyAlignment="1" applyProtection="1">
      <alignment horizontal="left" vertical="center"/>
    </xf>
    <xf numFmtId="0" fontId="0" fillId="0" borderId="6" xfId="0" applyBorder="1" applyAlignment="1" applyProtection="1">
      <alignment horizontal="left" vertical="center"/>
    </xf>
    <xf numFmtId="0" fontId="0" fillId="0" borderId="16" xfId="0" applyBorder="1" applyAlignment="1" applyProtection="1">
      <alignment horizontal="left" vertical="center"/>
    </xf>
    <xf numFmtId="0" fontId="5" fillId="0" borderId="20" xfId="0" applyFont="1" applyBorder="1" applyAlignment="1" applyProtection="1">
      <alignment horizontal="center" vertical="center" wrapText="1"/>
    </xf>
    <xf numFmtId="0" fontId="0" fillId="0" borderId="4" xfId="0" applyBorder="1" applyAlignment="1" applyProtection="1">
      <alignment horizontal="left" vertical="center"/>
    </xf>
    <xf numFmtId="0" fontId="0" fillId="0" borderId="0" xfId="0" applyBorder="1" applyAlignment="1" applyProtection="1">
      <alignment horizontal="left" vertical="center"/>
    </xf>
    <xf numFmtId="0" fontId="3" fillId="0" borderId="30" xfId="0" applyFont="1" applyBorder="1" applyAlignment="1" applyProtection="1">
      <alignment horizontal="center" vertical="center"/>
    </xf>
    <xf numFmtId="0" fontId="0" fillId="0" borderId="29" xfId="0" applyBorder="1" applyAlignment="1" applyProtection="1">
      <alignment vertical="center"/>
    </xf>
    <xf numFmtId="0" fontId="0" fillId="0" borderId="0" xfId="0" applyBorder="1" applyAlignment="1" applyProtection="1">
      <alignment horizontal="left" vertical="center" wrapText="1"/>
    </xf>
    <xf numFmtId="0" fontId="6" fillId="0" borderId="7" xfId="0" applyFont="1" applyBorder="1" applyAlignment="1" applyProtection="1">
      <alignment horizontal="left" vertical="center"/>
    </xf>
    <xf numFmtId="0" fontId="0" fillId="0" borderId="7" xfId="0" applyBorder="1" applyAlignment="1" applyProtection="1">
      <alignment horizontal="left" vertical="center"/>
    </xf>
    <xf numFmtId="0" fontId="3" fillId="0" borderId="31" xfId="0" applyFont="1" applyBorder="1" applyAlignment="1" applyProtection="1">
      <alignment horizontal="center" vertical="center"/>
    </xf>
    <xf numFmtId="0" fontId="5" fillId="0" borderId="19" xfId="0" applyFont="1" applyBorder="1" applyAlignment="1" applyProtection="1">
      <alignment horizontal="center" vertical="center"/>
    </xf>
    <xf numFmtId="2" fontId="0" fillId="0" borderId="19" xfId="0" applyNumberFormat="1" applyBorder="1" applyAlignment="1" applyProtection="1">
      <alignment horizontal="right" vertical="center"/>
    </xf>
    <xf numFmtId="0" fontId="0" fillId="0" borderId="25" xfId="0" applyBorder="1" applyAlignment="1" applyProtection="1">
      <alignment vertical="center"/>
    </xf>
    <xf numFmtId="0" fontId="0" fillId="0" borderId="19" xfId="0" applyBorder="1" applyAlignment="1" applyProtection="1">
      <alignment horizontal="left" vertical="center"/>
    </xf>
    <xf numFmtId="0" fontId="0" fillId="0" borderId="20" xfId="0" applyBorder="1" applyAlignment="1" applyProtection="1">
      <alignment horizontal="left" vertical="center"/>
    </xf>
    <xf numFmtId="2" fontId="0" fillId="0" borderId="29" xfId="0" applyNumberFormat="1" applyBorder="1" applyAlignment="1" applyProtection="1">
      <alignment horizontal="right" vertical="center"/>
    </xf>
    <xf numFmtId="2" fontId="0" fillId="0" borderId="28" xfId="0" applyNumberFormat="1" applyBorder="1" applyAlignment="1" applyProtection="1">
      <alignment horizontal="right" vertical="center"/>
    </xf>
    <xf numFmtId="2" fontId="0" fillId="0" borderId="14" xfId="0" applyNumberFormat="1" applyBorder="1" applyAlignment="1" applyProtection="1">
      <alignment horizontal="right" vertical="center"/>
    </xf>
    <xf numFmtId="0" fontId="0" fillId="0" borderId="14" xfId="0" applyBorder="1" applyAlignment="1" applyProtection="1">
      <alignment horizontal="left" vertical="center"/>
    </xf>
    <xf numFmtId="0" fontId="0" fillId="0" borderId="17" xfId="0" applyBorder="1" applyAlignment="1" applyProtection="1">
      <alignment horizontal="left" vertical="center"/>
    </xf>
    <xf numFmtId="0" fontId="3" fillId="0" borderId="32" xfId="0" applyFont="1" applyBorder="1" applyAlignment="1" applyProtection="1">
      <alignment horizontal="center" vertical="center"/>
    </xf>
    <xf numFmtId="2" fontId="0" fillId="0" borderId="40" xfId="0" applyNumberFormat="1" applyBorder="1" applyAlignment="1" applyProtection="1">
      <alignment horizontal="right" vertical="center"/>
    </xf>
    <xf numFmtId="2" fontId="0" fillId="0" borderId="41" xfId="0" applyNumberFormat="1" applyBorder="1" applyAlignment="1" applyProtection="1">
      <alignment horizontal="right" vertical="center"/>
    </xf>
    <xf numFmtId="0" fontId="1" fillId="0" borderId="2" xfId="0" applyFont="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7" fillId="0" borderId="20" xfId="0" applyFont="1" applyBorder="1" applyAlignment="1" applyProtection="1">
      <alignment horizontal="center" wrapText="1"/>
    </xf>
    <xf numFmtId="0" fontId="7" fillId="0" borderId="32" xfId="0" applyFont="1" applyBorder="1" applyAlignment="1" applyProtection="1">
      <alignment horizontal="center" wrapText="1"/>
    </xf>
    <xf numFmtId="0" fontId="10" fillId="0" borderId="19" xfId="0" applyFont="1" applyBorder="1" applyAlignment="1" applyProtection="1">
      <alignment horizontal="center"/>
    </xf>
    <xf numFmtId="0" fontId="10" fillId="0" borderId="29" xfId="0" applyFont="1" applyBorder="1" applyAlignment="1" applyProtection="1">
      <alignment horizontal="center"/>
    </xf>
    <xf numFmtId="0" fontId="11" fillId="0" borderId="19" xfId="0" applyFont="1" applyBorder="1" applyAlignment="1" applyProtection="1">
      <alignment horizontal="center"/>
    </xf>
    <xf numFmtId="0" fontId="13" fillId="0" borderId="0" xfId="0" applyFont="1" applyAlignment="1">
      <alignment horizontal="center"/>
    </xf>
    <xf numFmtId="0" fontId="15" fillId="4" borderId="0" xfId="0" applyFont="1" applyFill="1" applyProtection="1">
      <protection locked="0"/>
    </xf>
    <xf numFmtId="0" fontId="16" fillId="4" borderId="0" xfId="0" applyFont="1" applyFill="1" applyProtection="1">
      <protection locked="0"/>
    </xf>
    <xf numFmtId="0" fontId="0" fillId="4" borderId="0" xfId="0" applyFill="1" applyProtection="1"/>
    <xf numFmtId="0" fontId="6" fillId="5" borderId="15" xfId="0" applyFont="1" applyFill="1" applyBorder="1" applyProtection="1">
      <protection locked="0"/>
    </xf>
    <xf numFmtId="0" fontId="0" fillId="5" borderId="13" xfId="0" applyFill="1" applyBorder="1" applyProtection="1">
      <protection locked="0"/>
    </xf>
    <xf numFmtId="0" fontId="6" fillId="5" borderId="29" xfId="0" applyFont="1" applyFill="1" applyBorder="1" applyProtection="1">
      <protection locked="0"/>
    </xf>
    <xf numFmtId="0" fontId="0" fillId="5" borderId="18" xfId="0" applyFill="1" applyBorder="1" applyProtection="1">
      <protection locked="0"/>
    </xf>
    <xf numFmtId="0" fontId="0" fillId="5" borderId="29" xfId="0" applyFill="1" applyBorder="1" applyProtection="1">
      <protection locked="0"/>
    </xf>
    <xf numFmtId="0" fontId="0" fillId="5" borderId="34" xfId="0" applyFill="1" applyBorder="1" applyProtection="1">
      <protection locked="0"/>
    </xf>
    <xf numFmtId="0" fontId="0" fillId="5" borderId="31" xfId="0" applyFill="1" applyBorder="1" applyProtection="1">
      <protection locked="0"/>
    </xf>
    <xf numFmtId="0" fontId="6" fillId="5" borderId="14" xfId="0" quotePrefix="1" applyFont="1" applyFill="1" applyBorder="1" applyProtection="1">
      <protection locked="0"/>
    </xf>
    <xf numFmtId="0" fontId="6" fillId="5" borderId="19" xfId="0" quotePrefix="1" applyFont="1" applyFill="1" applyBorder="1" applyProtection="1">
      <protection locked="0"/>
    </xf>
    <xf numFmtId="0" fontId="6" fillId="5" borderId="30" xfId="0" quotePrefix="1" applyFont="1" applyFill="1" applyBorder="1" applyProtection="1">
      <protection locked="0"/>
    </xf>
    <xf numFmtId="0" fontId="6" fillId="4" borderId="14" xfId="0" quotePrefix="1" applyFont="1" applyFill="1" applyBorder="1" applyProtection="1"/>
    <xf numFmtId="0" fontId="0" fillId="5" borderId="6" xfId="0" applyFill="1" applyBorder="1" applyAlignment="1" applyProtection="1">
      <alignment horizontal="left" vertical="center"/>
      <protection locked="0"/>
    </xf>
    <xf numFmtId="0" fontId="0" fillId="5" borderId="6" xfId="0" applyFill="1" applyBorder="1" applyAlignment="1" applyProtection="1">
      <alignment horizontal="left" vertical="center" indent="1"/>
      <protection locked="0"/>
    </xf>
    <xf numFmtId="0" fontId="0" fillId="5" borderId="6" xfId="0" applyFill="1" applyBorder="1" applyAlignment="1" applyProtection="1">
      <alignment vertical="center"/>
      <protection locked="0"/>
    </xf>
    <xf numFmtId="2" fontId="0" fillId="5" borderId="6" xfId="0" applyNumberFormat="1" applyFill="1" applyBorder="1" applyAlignment="1" applyProtection="1">
      <alignment vertical="center"/>
      <protection locked="0"/>
    </xf>
    <xf numFmtId="0" fontId="0" fillId="5" borderId="6" xfId="0" applyFill="1" applyBorder="1" applyAlignment="1" applyProtection="1">
      <alignment vertical="center"/>
    </xf>
    <xf numFmtId="0" fontId="0" fillId="5" borderId="24" xfId="0" applyFill="1" applyBorder="1" applyAlignment="1" applyProtection="1">
      <alignment vertical="center"/>
    </xf>
    <xf numFmtId="2" fontId="0" fillId="5" borderId="6" xfId="0" applyNumberFormat="1" applyFill="1" applyBorder="1" applyAlignment="1" applyProtection="1">
      <alignment horizontal="right" vertical="center"/>
      <protection locked="0"/>
    </xf>
    <xf numFmtId="0" fontId="6" fillId="0" borderId="42" xfId="0" quotePrefix="1" applyFont="1" applyBorder="1" applyProtection="1"/>
    <xf numFmtId="0" fontId="16" fillId="4" borderId="1" xfId="0" applyFont="1" applyFill="1" applyBorder="1" applyProtection="1">
      <protection locked="0"/>
    </xf>
    <xf numFmtId="0" fontId="0" fillId="4" borderId="2" xfId="0" applyFill="1" applyBorder="1" applyAlignment="1" applyProtection="1">
      <alignment vertical="center"/>
    </xf>
    <xf numFmtId="0" fontId="6" fillId="4" borderId="43" xfId="0" quotePrefix="1" applyFont="1" applyFill="1" applyBorder="1" applyProtection="1"/>
    <xf numFmtId="0" fontId="0" fillId="4" borderId="3" xfId="0" applyFill="1" applyBorder="1" applyAlignment="1" applyProtection="1">
      <alignment vertical="center"/>
    </xf>
    <xf numFmtId="0" fontId="16" fillId="4" borderId="4" xfId="0" applyFont="1" applyFill="1" applyBorder="1" applyProtection="1">
      <protection locked="0"/>
    </xf>
    <xf numFmtId="0" fontId="0" fillId="4" borderId="0" xfId="0" applyFill="1" applyBorder="1" applyAlignment="1" applyProtection="1">
      <alignment vertical="center"/>
    </xf>
    <xf numFmtId="0" fontId="0" fillId="4" borderId="5" xfId="0" applyFill="1" applyBorder="1" applyAlignment="1" applyProtection="1">
      <alignment vertical="center"/>
    </xf>
    <xf numFmtId="0" fontId="3" fillId="4" borderId="0"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0" fontId="3" fillId="4" borderId="0" xfId="0" applyFont="1" applyFill="1" applyBorder="1" applyAlignment="1" applyProtection="1">
      <alignment horizontal="center" vertical="center"/>
    </xf>
    <xf numFmtId="0" fontId="3" fillId="4" borderId="5" xfId="0" applyFont="1" applyFill="1" applyBorder="1" applyAlignment="1" applyProtection="1">
      <alignment horizontal="center" vertical="center"/>
    </xf>
    <xf numFmtId="0" fontId="16" fillId="4" borderId="0" xfId="0" applyFont="1" applyFill="1" applyBorder="1" applyAlignment="1" applyProtection="1">
      <alignment horizontal="center"/>
      <protection locked="0"/>
    </xf>
    <xf numFmtId="0" fontId="17" fillId="4" borderId="21" xfId="1" applyFill="1" applyBorder="1" applyAlignment="1" applyProtection="1">
      <alignment vertical="center"/>
    </xf>
    <xf numFmtId="0" fontId="14" fillId="4" borderId="22" xfId="0" applyFont="1" applyFill="1" applyBorder="1" applyProtection="1"/>
    <xf numFmtId="0" fontId="0" fillId="4" borderId="22" xfId="0" applyFill="1" applyBorder="1" applyProtection="1"/>
    <xf numFmtId="0" fontId="0" fillId="4" borderId="22" xfId="0" applyFill="1" applyBorder="1" applyAlignment="1" applyProtection="1">
      <alignment vertical="center"/>
    </xf>
    <xf numFmtId="0" fontId="17" fillId="4" borderId="22" xfId="1" applyFill="1" applyBorder="1" applyAlignment="1" applyProtection="1">
      <alignment vertical="center"/>
    </xf>
    <xf numFmtId="0" fontId="0" fillId="4" borderId="23" xfId="0" applyFill="1" applyBorder="1" applyAlignment="1" applyProtection="1">
      <alignment vertical="center"/>
    </xf>
    <xf numFmtId="0" fontId="6" fillId="5" borderId="6" xfId="0" applyFont="1" applyFill="1" applyBorder="1" applyAlignment="1" applyProtection="1">
      <alignment horizontal="left" vertical="center"/>
      <protection locked="0"/>
    </xf>
    <xf numFmtId="0" fontId="0" fillId="5" borderId="24"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5" borderId="25" xfId="0" applyFill="1" applyBorder="1" applyAlignment="1" applyProtection="1">
      <alignment vertical="center"/>
      <protection locked="0"/>
    </xf>
    <xf numFmtId="0" fontId="18" fillId="0" borderId="0" xfId="0" applyFont="1" applyAlignment="1" applyProtection="1">
      <alignment vertical="center"/>
    </xf>
  </cellXfs>
  <cellStyles count="2">
    <cellStyle name="Hyperlink" xfId="1" builtinId="8"/>
    <cellStyle name="Normal" xfId="0" builtinId="0"/>
  </cellStyles>
  <dxfs count="1">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absolute">
    <xdr:from>
      <xdr:col>0</xdr:col>
      <xdr:colOff>28575</xdr:colOff>
      <xdr:row>0</xdr:row>
      <xdr:rowOff>28575</xdr:rowOff>
    </xdr:from>
    <xdr:to>
      <xdr:col>1</xdr:col>
      <xdr:colOff>371475</xdr:colOff>
      <xdr:row>4</xdr:row>
      <xdr:rowOff>57150</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8575" y="28575"/>
          <a:ext cx="723900" cy="752475"/>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28575</xdr:colOff>
      <xdr:row>0</xdr:row>
      <xdr:rowOff>28575</xdr:rowOff>
    </xdr:from>
    <xdr:to>
      <xdr:col>2</xdr:col>
      <xdr:colOff>173037</xdr:colOff>
      <xdr:row>4</xdr:row>
      <xdr:rowOff>57150</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8575" y="28575"/>
          <a:ext cx="723900" cy="752475"/>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ketk20@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X39"/>
  <sheetViews>
    <sheetView showGridLines="0" zoomScale="120" workbookViewId="0">
      <selection activeCell="F8" sqref="F8:K10"/>
    </sheetView>
  </sheetViews>
  <sheetFormatPr defaultRowHeight="12.75"/>
  <cols>
    <col min="1" max="1" width="5.7109375" style="79" customWidth="1"/>
    <col min="2" max="2" width="5.7109375" style="2" customWidth="1"/>
    <col min="3" max="9" width="6" style="2" customWidth="1"/>
    <col min="10" max="10" width="6.42578125" style="2" customWidth="1"/>
    <col min="11" max="17" width="6" style="2" customWidth="1"/>
    <col min="18" max="22" width="5.85546875" style="2" customWidth="1"/>
    <col min="23" max="54" width="5.7109375" style="2" customWidth="1"/>
    <col min="55" max="16384" width="9.140625" style="2"/>
  </cols>
  <sheetData>
    <row r="1" spans="1:24" ht="15.75">
      <c r="A1" s="76"/>
      <c r="B1" s="1"/>
      <c r="C1" s="1"/>
      <c r="D1" s="1"/>
      <c r="E1" s="1"/>
      <c r="F1" s="1"/>
      <c r="G1" s="1"/>
      <c r="H1" s="115" t="s">
        <v>0</v>
      </c>
      <c r="I1" s="115"/>
      <c r="J1" s="115"/>
      <c r="K1" s="115"/>
      <c r="L1" s="115"/>
      <c r="M1" s="115"/>
      <c r="N1" s="115"/>
      <c r="O1" s="115"/>
      <c r="P1" s="115"/>
      <c r="Q1" s="115"/>
      <c r="R1" s="115"/>
      <c r="S1" s="1"/>
      <c r="T1" s="1"/>
      <c r="U1" s="1"/>
      <c r="V1" s="1"/>
      <c r="W1" s="116" t="s">
        <v>1</v>
      </c>
      <c r="X1" s="117"/>
    </row>
    <row r="2" spans="1:24">
      <c r="A2" s="9"/>
      <c r="B2" s="3"/>
      <c r="C2" s="3"/>
      <c r="D2" s="3"/>
      <c r="E2" s="3"/>
      <c r="F2" s="3"/>
      <c r="G2" s="3"/>
      <c r="H2" s="118" t="s">
        <v>2</v>
      </c>
      <c r="I2" s="118"/>
      <c r="J2" s="118"/>
      <c r="K2" s="118"/>
      <c r="L2" s="118"/>
      <c r="M2" s="118"/>
      <c r="N2" s="118"/>
      <c r="O2" s="118"/>
      <c r="P2" s="118"/>
      <c r="Q2" s="118"/>
      <c r="R2" s="118"/>
      <c r="S2" s="3"/>
      <c r="T2" s="3"/>
      <c r="U2" s="3"/>
      <c r="V2" s="3"/>
      <c r="W2" s="3"/>
      <c r="X2" s="4"/>
    </row>
    <row r="3" spans="1:24" ht="15.75">
      <c r="A3" s="9"/>
      <c r="B3" s="3"/>
      <c r="C3" s="3"/>
      <c r="D3" s="3"/>
      <c r="E3" s="3"/>
      <c r="F3" s="3"/>
      <c r="G3" s="3"/>
      <c r="H3" s="119" t="s">
        <v>3</v>
      </c>
      <c r="I3" s="119"/>
      <c r="J3" s="119"/>
      <c r="K3" s="119"/>
      <c r="L3" s="119"/>
      <c r="M3" s="119"/>
      <c r="N3" s="119"/>
      <c r="O3" s="119"/>
      <c r="P3" s="119"/>
      <c r="Q3" s="119"/>
      <c r="R3" s="119"/>
      <c r="S3" s="3"/>
      <c r="T3" s="3"/>
      <c r="U3" s="3"/>
      <c r="V3" s="3"/>
      <c r="W3" s="3"/>
      <c r="X3" s="4"/>
    </row>
    <row r="4" spans="1:24">
      <c r="A4" s="9"/>
      <c r="B4" s="3"/>
      <c r="C4" s="3"/>
      <c r="D4" s="3"/>
      <c r="E4" s="3"/>
      <c r="F4" s="3"/>
      <c r="G4" s="3"/>
      <c r="H4" s="118"/>
      <c r="I4" s="118"/>
      <c r="J4" s="118"/>
      <c r="K4" s="118"/>
      <c r="L4" s="118"/>
      <c r="M4" s="118"/>
      <c r="N4" s="118"/>
      <c r="O4" s="118"/>
      <c r="P4" s="118"/>
      <c r="Q4" s="118"/>
      <c r="R4" s="118"/>
      <c r="S4" s="3"/>
      <c r="T4" s="3"/>
      <c r="U4" s="3"/>
      <c r="V4" s="3"/>
      <c r="W4" s="3"/>
      <c r="X4" s="4"/>
    </row>
    <row r="5" spans="1:24" ht="8.1" customHeight="1">
      <c r="A5" s="9"/>
      <c r="B5" s="3"/>
      <c r="C5" s="3"/>
      <c r="D5" s="3"/>
      <c r="E5" s="3"/>
      <c r="F5" s="3"/>
      <c r="G5" s="3"/>
      <c r="H5" s="3"/>
      <c r="I5" s="3"/>
      <c r="J5" s="3"/>
      <c r="K5" s="3"/>
      <c r="L5" s="3"/>
      <c r="M5" s="3"/>
      <c r="N5" s="3"/>
      <c r="O5" s="3"/>
      <c r="P5" s="3"/>
      <c r="Q5" s="3"/>
      <c r="R5" s="3"/>
      <c r="S5" s="3"/>
      <c r="T5" s="3"/>
      <c r="U5" s="3"/>
      <c r="V5" s="3"/>
      <c r="W5" s="3"/>
      <c r="X5" s="4"/>
    </row>
    <row r="6" spans="1:24">
      <c r="A6" s="120" t="s">
        <v>4</v>
      </c>
      <c r="B6" s="104"/>
      <c r="C6" s="104"/>
      <c r="D6" s="104"/>
      <c r="E6" s="104"/>
      <c r="F6" s="104"/>
      <c r="G6" s="104"/>
      <c r="H6" s="104"/>
      <c r="I6" s="104"/>
      <c r="J6" s="121"/>
      <c r="K6" s="121"/>
      <c r="L6" s="122" t="s">
        <v>5</v>
      </c>
      <c r="M6" s="122"/>
      <c r="N6" s="121"/>
      <c r="O6" s="121"/>
      <c r="P6" s="3"/>
      <c r="Q6" s="3"/>
      <c r="R6" s="3"/>
      <c r="S6" s="3"/>
      <c r="T6" s="3"/>
      <c r="U6" s="3"/>
      <c r="V6" s="3"/>
      <c r="W6" s="3"/>
      <c r="X6" s="4"/>
    </row>
    <row r="7" spans="1:24" ht="8.1" customHeight="1">
      <c r="A7" s="9"/>
      <c r="B7" s="5"/>
      <c r="C7" s="5"/>
      <c r="D7" s="5"/>
      <c r="E7" s="5"/>
      <c r="F7" s="5"/>
      <c r="G7" s="5"/>
      <c r="H7" s="5"/>
      <c r="I7" s="6"/>
      <c r="J7" s="7"/>
      <c r="K7" s="8"/>
      <c r="L7" s="8"/>
      <c r="M7" s="8"/>
      <c r="N7" s="6"/>
      <c r="O7" s="6"/>
      <c r="P7" s="3"/>
      <c r="Q7" s="3"/>
      <c r="R7" s="3"/>
      <c r="S7" s="3"/>
      <c r="T7" s="3"/>
      <c r="U7" s="3"/>
      <c r="V7" s="3"/>
      <c r="W7" s="3"/>
      <c r="X7" s="4"/>
    </row>
    <row r="8" spans="1:24">
      <c r="A8" s="9"/>
      <c r="B8" s="111" t="s">
        <v>6</v>
      </c>
      <c r="C8" s="111"/>
      <c r="D8" s="111"/>
      <c r="E8" s="111"/>
      <c r="F8" s="112"/>
      <c r="G8" s="113"/>
      <c r="H8" s="113"/>
      <c r="I8" s="113"/>
      <c r="J8" s="113"/>
      <c r="K8" s="113"/>
      <c r="L8" s="8"/>
      <c r="M8" s="6" t="s">
        <v>7</v>
      </c>
      <c r="N8" s="6"/>
      <c r="O8" s="6"/>
      <c r="P8" s="6"/>
      <c r="Q8" s="10">
        <v>12</v>
      </c>
      <c r="R8" s="3" t="s">
        <v>8</v>
      </c>
      <c r="S8" s="3"/>
      <c r="T8" s="3"/>
      <c r="U8" s="3"/>
      <c r="V8" s="3"/>
      <c r="W8" s="3"/>
      <c r="X8" s="4"/>
    </row>
    <row r="9" spans="1:24">
      <c r="A9" s="9"/>
      <c r="B9" s="111"/>
      <c r="C9" s="111"/>
      <c r="D9" s="111"/>
      <c r="E9" s="111"/>
      <c r="F9" s="114"/>
      <c r="G9" s="97"/>
      <c r="H9" s="97"/>
      <c r="I9" s="97"/>
      <c r="J9" s="97"/>
      <c r="K9" s="97"/>
      <c r="L9" s="8"/>
      <c r="M9" s="8"/>
      <c r="N9" s="104"/>
      <c r="O9" s="104"/>
      <c r="P9" s="104"/>
      <c r="Q9" s="104"/>
      <c r="R9" s="104"/>
      <c r="S9" s="104"/>
      <c r="T9" s="104"/>
      <c r="U9" s="104"/>
      <c r="V9" s="104"/>
      <c r="W9" s="104"/>
      <c r="X9" s="105"/>
    </row>
    <row r="10" spans="1:24">
      <c r="A10" s="9"/>
      <c r="B10" s="3"/>
      <c r="C10" s="3"/>
      <c r="D10" s="3"/>
      <c r="E10" s="3"/>
      <c r="F10" s="114"/>
      <c r="G10" s="97"/>
      <c r="H10" s="97"/>
      <c r="I10" s="97"/>
      <c r="J10" s="97"/>
      <c r="K10" s="97"/>
      <c r="L10" s="8"/>
      <c r="M10" s="104" t="s">
        <v>9</v>
      </c>
      <c r="N10" s="104"/>
      <c r="O10" s="104"/>
      <c r="P10" s="104"/>
      <c r="Q10" s="104"/>
      <c r="R10" s="104"/>
      <c r="S10" s="104"/>
      <c r="T10" s="104"/>
      <c r="U10" s="11"/>
      <c r="V10" s="3"/>
      <c r="W10" s="3"/>
      <c r="X10" s="4"/>
    </row>
    <row r="11" spans="1:24">
      <c r="A11" s="9"/>
      <c r="B11" s="104" t="s">
        <v>10</v>
      </c>
      <c r="C11" s="104"/>
      <c r="D11" s="104"/>
      <c r="E11" s="104"/>
      <c r="F11" s="97"/>
      <c r="G11" s="97"/>
      <c r="H11" s="97"/>
      <c r="I11" s="97"/>
      <c r="J11" s="97"/>
      <c r="K11" s="97"/>
      <c r="L11" s="8"/>
      <c r="M11" s="8"/>
      <c r="N11" s="104"/>
      <c r="O11" s="104"/>
      <c r="P11" s="104"/>
      <c r="Q11" s="104"/>
      <c r="R11" s="104"/>
      <c r="S11" s="104"/>
      <c r="T11" s="104"/>
      <c r="U11" s="104"/>
      <c r="V11" s="104"/>
      <c r="W11" s="104"/>
      <c r="X11" s="105"/>
    </row>
    <row r="12" spans="1:24">
      <c r="A12" s="9"/>
      <c r="B12" s="3"/>
      <c r="C12" s="3"/>
      <c r="D12" s="3"/>
      <c r="E12" s="3"/>
      <c r="F12" s="106"/>
      <c r="G12" s="106"/>
      <c r="H12" s="106"/>
      <c r="I12" s="106"/>
      <c r="J12" s="106"/>
      <c r="K12" s="106"/>
      <c r="L12" s="8"/>
      <c r="M12" s="8"/>
      <c r="N12" s="6"/>
      <c r="O12" s="104"/>
      <c r="P12" s="104"/>
      <c r="Q12" s="104"/>
      <c r="R12" s="104"/>
      <c r="S12" s="104"/>
      <c r="T12" s="104"/>
      <c r="U12" s="104"/>
      <c r="V12" s="104"/>
      <c r="W12" s="104"/>
      <c r="X12" s="105"/>
    </row>
    <row r="13" spans="1:24" s="13" customFormat="1" ht="95.25" customHeight="1">
      <c r="A13" s="12" t="s">
        <v>11</v>
      </c>
      <c r="B13" s="107" t="s">
        <v>12</v>
      </c>
      <c r="C13" s="107"/>
      <c r="D13" s="108" t="s">
        <v>13</v>
      </c>
      <c r="E13" s="109"/>
      <c r="F13" s="109"/>
      <c r="G13" s="109"/>
      <c r="H13" s="107" t="s">
        <v>14</v>
      </c>
      <c r="I13" s="107"/>
      <c r="J13" s="107"/>
      <c r="K13" s="107" t="s">
        <v>15</v>
      </c>
      <c r="L13" s="107"/>
      <c r="M13" s="107" t="s">
        <v>16</v>
      </c>
      <c r="N13" s="107"/>
      <c r="O13" s="107" t="s">
        <v>17</v>
      </c>
      <c r="P13" s="107"/>
      <c r="Q13" s="107" t="s">
        <v>18</v>
      </c>
      <c r="R13" s="107"/>
      <c r="S13" s="107" t="s">
        <v>19</v>
      </c>
      <c r="T13" s="107"/>
      <c r="U13" s="107" t="s">
        <v>20</v>
      </c>
      <c r="V13" s="107"/>
      <c r="W13" s="107" t="s">
        <v>21</v>
      </c>
      <c r="X13" s="110"/>
    </row>
    <row r="14" spans="1:24" s="15" customFormat="1" ht="12.75" customHeight="1">
      <c r="A14" s="14">
        <v>1</v>
      </c>
      <c r="B14" s="100">
        <v>2</v>
      </c>
      <c r="C14" s="100"/>
      <c r="D14" s="100">
        <v>3</v>
      </c>
      <c r="E14" s="100"/>
      <c r="F14" s="100"/>
      <c r="G14" s="100"/>
      <c r="H14" s="100">
        <v>4</v>
      </c>
      <c r="I14" s="100"/>
      <c r="J14" s="100"/>
      <c r="K14" s="100">
        <v>5</v>
      </c>
      <c r="L14" s="100"/>
      <c r="M14" s="100">
        <v>6</v>
      </c>
      <c r="N14" s="100"/>
      <c r="O14" s="100">
        <v>7</v>
      </c>
      <c r="P14" s="100"/>
      <c r="Q14" s="102"/>
      <c r="R14" s="103"/>
      <c r="S14" s="100">
        <v>8</v>
      </c>
      <c r="T14" s="100"/>
      <c r="U14" s="100">
        <v>9</v>
      </c>
      <c r="V14" s="100"/>
      <c r="W14" s="100">
        <v>10</v>
      </c>
      <c r="X14" s="101"/>
    </row>
    <row r="15" spans="1:24" ht="12.75" customHeight="1">
      <c r="A15" s="77">
        <v>1</v>
      </c>
      <c r="B15" s="91" t="str">
        <f>'Monthly wages'!A4</f>
        <v>0000001</v>
      </c>
      <c r="C15" s="92"/>
      <c r="D15" s="91" t="str">
        <f>UPPER('Monthly wages'!B4)</f>
        <v>MANTU KUMAR</v>
      </c>
      <c r="E15" s="97"/>
      <c r="F15" s="97"/>
      <c r="G15" s="92"/>
      <c r="H15" s="93">
        <f>'Monthly wages'!CJ4</f>
        <v>26605</v>
      </c>
      <c r="I15" s="93"/>
      <c r="J15" s="93"/>
      <c r="K15" s="93">
        <f>'Monthly wages'!CL4</f>
        <v>3195</v>
      </c>
      <c r="L15" s="93"/>
      <c r="M15" s="93">
        <f>'Monthly wages'!CN4</f>
        <v>979</v>
      </c>
      <c r="N15" s="93"/>
      <c r="O15" s="93">
        <f>'Monthly wages'!CO4</f>
        <v>2216</v>
      </c>
      <c r="P15" s="93"/>
      <c r="Q15" s="93">
        <f>SUM(K15:P15)</f>
        <v>6390</v>
      </c>
      <c r="R15" s="93"/>
      <c r="S15" s="93">
        <v>0</v>
      </c>
      <c r="T15" s="93"/>
      <c r="U15" s="93">
        <v>0</v>
      </c>
      <c r="V15" s="93"/>
      <c r="W15" s="94"/>
      <c r="X15" s="95"/>
    </row>
    <row r="16" spans="1:24" ht="12.75" customHeight="1">
      <c r="A16" s="77">
        <f>A15+1</f>
        <v>2</v>
      </c>
      <c r="B16" s="91" t="str">
        <f>'Monthly wages'!A5</f>
        <v>0000002</v>
      </c>
      <c r="C16" s="92"/>
      <c r="D16" s="91" t="str">
        <f>UPPER('Monthly wages'!B5)</f>
        <v>RAHUL KUMAR</v>
      </c>
      <c r="E16" s="97"/>
      <c r="F16" s="97"/>
      <c r="G16" s="92"/>
      <c r="H16" s="93">
        <f>'Monthly wages'!CJ5</f>
        <v>0</v>
      </c>
      <c r="I16" s="93"/>
      <c r="J16" s="93"/>
      <c r="K16" s="93">
        <f>'Monthly wages'!CL5</f>
        <v>0</v>
      </c>
      <c r="L16" s="93"/>
      <c r="M16" s="93">
        <f>'Monthly wages'!CN5</f>
        <v>0</v>
      </c>
      <c r="N16" s="93"/>
      <c r="O16" s="93">
        <f>'Monthly wages'!CO5</f>
        <v>0</v>
      </c>
      <c r="P16" s="93"/>
      <c r="Q16" s="93">
        <f t="shared" ref="Q16:Q36" si="0">SUM(K16:P16)</f>
        <v>0</v>
      </c>
      <c r="R16" s="93"/>
      <c r="S16" s="93">
        <v>0</v>
      </c>
      <c r="T16" s="93"/>
      <c r="U16" s="93">
        <v>0</v>
      </c>
      <c r="V16" s="93"/>
      <c r="W16" s="94"/>
      <c r="X16" s="95"/>
    </row>
    <row r="17" spans="1:24" ht="12.75" customHeight="1">
      <c r="A17" s="77">
        <f t="shared" ref="A17:A36" si="1">A16+1</f>
        <v>3</v>
      </c>
      <c r="B17" s="91" t="str">
        <f>'Monthly wages'!A6</f>
        <v>0000003</v>
      </c>
      <c r="C17" s="92"/>
      <c r="D17" s="91" t="str">
        <f>UPPER('Monthly wages'!B6)</f>
        <v>GUDDU KUMAR</v>
      </c>
      <c r="E17" s="97"/>
      <c r="F17" s="97"/>
      <c r="G17" s="92"/>
      <c r="H17" s="93">
        <f>'Monthly wages'!CJ6</f>
        <v>26555</v>
      </c>
      <c r="I17" s="93"/>
      <c r="J17" s="93"/>
      <c r="K17" s="93">
        <f>'Monthly wages'!CL6</f>
        <v>3189</v>
      </c>
      <c r="L17" s="93"/>
      <c r="M17" s="93">
        <f>'Monthly wages'!CN6</f>
        <v>978</v>
      </c>
      <c r="N17" s="93"/>
      <c r="O17" s="93">
        <f>'Monthly wages'!CO6</f>
        <v>2211</v>
      </c>
      <c r="P17" s="93"/>
      <c r="Q17" s="93">
        <f t="shared" si="0"/>
        <v>6378</v>
      </c>
      <c r="R17" s="93"/>
      <c r="S17" s="93">
        <v>0</v>
      </c>
      <c r="T17" s="93"/>
      <c r="U17" s="93">
        <v>0</v>
      </c>
      <c r="V17" s="93"/>
      <c r="W17" s="94"/>
      <c r="X17" s="95"/>
    </row>
    <row r="18" spans="1:24" ht="12.75" customHeight="1">
      <c r="A18" s="77">
        <f t="shared" si="1"/>
        <v>4</v>
      </c>
      <c r="B18" s="91" t="str">
        <f>'Monthly wages'!A7</f>
        <v>0000004</v>
      </c>
      <c r="C18" s="92"/>
      <c r="D18" s="91" t="str">
        <f>UPPER('Monthly wages'!B7)</f>
        <v>KUNDAN KUMAR</v>
      </c>
      <c r="E18" s="97"/>
      <c r="F18" s="97"/>
      <c r="G18" s="92"/>
      <c r="H18" s="93">
        <f>'Monthly wages'!CJ7</f>
        <v>16136</v>
      </c>
      <c r="I18" s="93"/>
      <c r="J18" s="93"/>
      <c r="K18" s="93">
        <f>'Monthly wages'!CL7</f>
        <v>1938</v>
      </c>
      <c r="L18" s="93"/>
      <c r="M18" s="93">
        <f>'Monthly wages'!CN7</f>
        <v>594</v>
      </c>
      <c r="N18" s="93"/>
      <c r="O18" s="93">
        <f>'Monthly wages'!CO7</f>
        <v>1344</v>
      </c>
      <c r="P18" s="93"/>
      <c r="Q18" s="93">
        <f t="shared" si="0"/>
        <v>3876</v>
      </c>
      <c r="R18" s="93"/>
      <c r="S18" s="93">
        <v>0</v>
      </c>
      <c r="T18" s="93"/>
      <c r="U18" s="93">
        <v>0</v>
      </c>
      <c r="V18" s="93"/>
      <c r="W18" s="94"/>
      <c r="X18" s="95"/>
    </row>
    <row r="19" spans="1:24" ht="12.75" customHeight="1">
      <c r="A19" s="77">
        <f t="shared" si="1"/>
        <v>5</v>
      </c>
      <c r="B19" s="91" t="str">
        <f>'Monthly wages'!A8</f>
        <v>0000005</v>
      </c>
      <c r="C19" s="92"/>
      <c r="D19" s="91" t="str">
        <f>UPPER('Monthly wages'!B8)</f>
        <v>AJIT KUMAR</v>
      </c>
      <c r="E19" s="97"/>
      <c r="F19" s="97"/>
      <c r="G19" s="92"/>
      <c r="H19" s="93">
        <f>'Monthly wages'!CJ8</f>
        <v>26253</v>
      </c>
      <c r="I19" s="93"/>
      <c r="J19" s="93"/>
      <c r="K19" s="93">
        <f>'Monthly wages'!CL8</f>
        <v>3153</v>
      </c>
      <c r="L19" s="93"/>
      <c r="M19" s="93">
        <f>'Monthly wages'!CN8</f>
        <v>966</v>
      </c>
      <c r="N19" s="93"/>
      <c r="O19" s="93">
        <f>'Monthly wages'!CO8</f>
        <v>2187</v>
      </c>
      <c r="P19" s="93"/>
      <c r="Q19" s="93">
        <f t="shared" si="0"/>
        <v>6306</v>
      </c>
      <c r="R19" s="93"/>
      <c r="S19" s="93">
        <v>0</v>
      </c>
      <c r="T19" s="93"/>
      <c r="U19" s="93">
        <v>0</v>
      </c>
      <c r="V19" s="93"/>
      <c r="W19" s="94"/>
      <c r="X19" s="95"/>
    </row>
    <row r="20" spans="1:24" ht="12.75" customHeight="1">
      <c r="A20" s="77">
        <f t="shared" si="1"/>
        <v>6</v>
      </c>
      <c r="B20" s="91" t="str">
        <f>'Monthly wages'!A9</f>
        <v>0000006</v>
      </c>
      <c r="C20" s="92"/>
      <c r="D20" s="91" t="str">
        <f>UPPER('Monthly wages'!B9)</f>
        <v>SANJEEV PRASAD</v>
      </c>
      <c r="E20" s="97"/>
      <c r="F20" s="97"/>
      <c r="G20" s="92"/>
      <c r="H20" s="93">
        <f>'Monthly wages'!CJ9</f>
        <v>26605</v>
      </c>
      <c r="I20" s="93"/>
      <c r="J20" s="93"/>
      <c r="K20" s="93">
        <f>'Monthly wages'!CL9</f>
        <v>3195</v>
      </c>
      <c r="L20" s="93"/>
      <c r="M20" s="93">
        <f>'Monthly wages'!CN9</f>
        <v>979</v>
      </c>
      <c r="N20" s="93"/>
      <c r="O20" s="93">
        <f>'Monthly wages'!CO9</f>
        <v>2216</v>
      </c>
      <c r="P20" s="93"/>
      <c r="Q20" s="93">
        <f t="shared" si="0"/>
        <v>6390</v>
      </c>
      <c r="R20" s="93"/>
      <c r="S20" s="93">
        <v>0</v>
      </c>
      <c r="T20" s="93"/>
      <c r="U20" s="93">
        <v>0</v>
      </c>
      <c r="V20" s="93"/>
      <c r="W20" s="94"/>
      <c r="X20" s="95"/>
    </row>
    <row r="21" spans="1:24" ht="12.75" customHeight="1">
      <c r="A21" s="77">
        <f t="shared" si="1"/>
        <v>7</v>
      </c>
      <c r="B21" s="91" t="str">
        <f>'Monthly wages'!A10</f>
        <v>0000007</v>
      </c>
      <c r="C21" s="92"/>
      <c r="D21" s="91" t="str">
        <f>UPPER('Monthly wages'!B10)</f>
        <v>DILIP KUMAR</v>
      </c>
      <c r="E21" s="97"/>
      <c r="F21" s="97"/>
      <c r="G21" s="92"/>
      <c r="H21" s="93">
        <f>'Monthly wages'!CJ10</f>
        <v>26555</v>
      </c>
      <c r="I21" s="93"/>
      <c r="J21" s="93"/>
      <c r="K21" s="93">
        <f>'Monthly wages'!CL10</f>
        <v>3189</v>
      </c>
      <c r="L21" s="93"/>
      <c r="M21" s="93">
        <f>'Monthly wages'!CN10</f>
        <v>978</v>
      </c>
      <c r="N21" s="93"/>
      <c r="O21" s="93">
        <f>'Monthly wages'!CO10</f>
        <v>2211</v>
      </c>
      <c r="P21" s="93"/>
      <c r="Q21" s="93">
        <f t="shared" si="0"/>
        <v>6378</v>
      </c>
      <c r="R21" s="93"/>
      <c r="S21" s="93">
        <v>0</v>
      </c>
      <c r="T21" s="93"/>
      <c r="U21" s="93">
        <v>0</v>
      </c>
      <c r="V21" s="93"/>
      <c r="W21" s="94"/>
      <c r="X21" s="95"/>
    </row>
    <row r="22" spans="1:24" ht="12.75" customHeight="1">
      <c r="A22" s="77">
        <f t="shared" si="1"/>
        <v>8</v>
      </c>
      <c r="B22" s="91" t="str">
        <f>'Monthly wages'!A11</f>
        <v>0000008</v>
      </c>
      <c r="C22" s="92"/>
      <c r="D22" s="91" t="str">
        <f>UPPER('Monthly wages'!B11)</f>
        <v>OM PRAKASH</v>
      </c>
      <c r="E22" s="97"/>
      <c r="F22" s="97"/>
      <c r="G22" s="92"/>
      <c r="H22" s="93">
        <f>'Monthly wages'!CJ11</f>
        <v>23686</v>
      </c>
      <c r="I22" s="93"/>
      <c r="J22" s="93"/>
      <c r="K22" s="93">
        <f>'Monthly wages'!CL11</f>
        <v>2844</v>
      </c>
      <c r="L22" s="93"/>
      <c r="M22" s="93">
        <f>'Monthly wages'!CN11</f>
        <v>872</v>
      </c>
      <c r="N22" s="93"/>
      <c r="O22" s="93">
        <f>'Monthly wages'!CO11</f>
        <v>1972</v>
      </c>
      <c r="P22" s="93"/>
      <c r="Q22" s="93">
        <f t="shared" si="0"/>
        <v>5688</v>
      </c>
      <c r="R22" s="93"/>
      <c r="S22" s="93">
        <v>0</v>
      </c>
      <c r="T22" s="93"/>
      <c r="U22" s="93">
        <v>0</v>
      </c>
      <c r="V22" s="93"/>
      <c r="W22" s="94"/>
      <c r="X22" s="95"/>
    </row>
    <row r="23" spans="1:24">
      <c r="A23" s="77">
        <f t="shared" si="1"/>
        <v>9</v>
      </c>
      <c r="B23" s="91" t="str">
        <f>'Monthly wages'!A12</f>
        <v>0000009</v>
      </c>
      <c r="C23" s="92"/>
      <c r="D23" s="91" t="str">
        <f>UPPER('Monthly wages'!B12)</f>
        <v>PANKAJ KUMAR</v>
      </c>
      <c r="E23" s="97"/>
      <c r="F23" s="97"/>
      <c r="G23" s="92"/>
      <c r="H23" s="93">
        <f>'Monthly wages'!CJ12</f>
        <v>12512</v>
      </c>
      <c r="I23" s="93"/>
      <c r="J23" s="93"/>
      <c r="K23" s="93">
        <f>'Monthly wages'!CL12</f>
        <v>1503</v>
      </c>
      <c r="L23" s="93"/>
      <c r="M23" s="93">
        <f>'Monthly wages'!CN12</f>
        <v>461</v>
      </c>
      <c r="N23" s="93"/>
      <c r="O23" s="93">
        <f>'Monthly wages'!CO12</f>
        <v>1042</v>
      </c>
      <c r="P23" s="93"/>
      <c r="Q23" s="93">
        <f t="shared" si="0"/>
        <v>3006</v>
      </c>
      <c r="R23" s="93"/>
      <c r="S23" s="93">
        <v>0</v>
      </c>
      <c r="T23" s="93"/>
      <c r="U23" s="93">
        <v>0</v>
      </c>
      <c r="V23" s="93"/>
      <c r="W23" s="94"/>
      <c r="X23" s="95"/>
    </row>
    <row r="24" spans="1:24">
      <c r="A24" s="77">
        <f t="shared" si="1"/>
        <v>10</v>
      </c>
      <c r="B24" s="91" t="str">
        <f>'Monthly wages'!A13</f>
        <v>0000010</v>
      </c>
      <c r="C24" s="92"/>
      <c r="D24" s="91" t="str">
        <f>UPPER('Monthly wages'!B13)</f>
        <v>PINTU KUMAR</v>
      </c>
      <c r="E24" s="97"/>
      <c r="F24" s="97"/>
      <c r="G24" s="92"/>
      <c r="H24" s="93">
        <f>'Monthly wages'!CJ13</f>
        <v>0</v>
      </c>
      <c r="I24" s="93"/>
      <c r="J24" s="93"/>
      <c r="K24" s="93">
        <f>'Monthly wages'!CL13</f>
        <v>0</v>
      </c>
      <c r="L24" s="93"/>
      <c r="M24" s="93">
        <f>'Monthly wages'!CN13</f>
        <v>0</v>
      </c>
      <c r="N24" s="93"/>
      <c r="O24" s="93">
        <f>'Monthly wages'!CO13</f>
        <v>0</v>
      </c>
      <c r="P24" s="93"/>
      <c r="Q24" s="93">
        <f t="shared" si="0"/>
        <v>0</v>
      </c>
      <c r="R24" s="93"/>
      <c r="S24" s="93">
        <v>0</v>
      </c>
      <c r="T24" s="93"/>
      <c r="U24" s="93">
        <v>0</v>
      </c>
      <c r="V24" s="93"/>
      <c r="W24" s="94"/>
      <c r="X24" s="95"/>
    </row>
    <row r="25" spans="1:24">
      <c r="A25" s="77">
        <f t="shared" si="1"/>
        <v>11</v>
      </c>
      <c r="B25" s="91" t="str">
        <f>'Monthly wages'!A14</f>
        <v>0000011</v>
      </c>
      <c r="C25" s="92"/>
      <c r="D25" s="91" t="str">
        <f>UPPER('Monthly wages'!B14)</f>
        <v>SURAJ KUMAR</v>
      </c>
      <c r="E25" s="97"/>
      <c r="F25" s="97"/>
      <c r="G25" s="92"/>
      <c r="H25" s="93">
        <f>'Monthly wages'!CJ14</f>
        <v>18099</v>
      </c>
      <c r="I25" s="93"/>
      <c r="J25" s="93"/>
      <c r="K25" s="93">
        <f>'Monthly wages'!CL14</f>
        <v>2174</v>
      </c>
      <c r="L25" s="93"/>
      <c r="M25" s="93">
        <f>'Monthly wages'!CN14</f>
        <v>667</v>
      </c>
      <c r="N25" s="93"/>
      <c r="O25" s="93">
        <f>'Monthly wages'!CO14</f>
        <v>1507</v>
      </c>
      <c r="P25" s="93"/>
      <c r="Q25" s="93">
        <f t="shared" si="0"/>
        <v>4348</v>
      </c>
      <c r="R25" s="93"/>
      <c r="S25" s="93">
        <v>0</v>
      </c>
      <c r="T25" s="93"/>
      <c r="U25" s="93">
        <v>0</v>
      </c>
      <c r="V25" s="93"/>
      <c r="W25" s="94"/>
      <c r="X25" s="95"/>
    </row>
    <row r="26" spans="1:24">
      <c r="A26" s="77">
        <f t="shared" si="1"/>
        <v>12</v>
      </c>
      <c r="B26" s="91" t="str">
        <f>'Monthly wages'!A15</f>
        <v>0000012</v>
      </c>
      <c r="C26" s="92"/>
      <c r="D26" s="91" t="str">
        <f>UPPER('Monthly wages'!B15)</f>
        <v>PINKU KUMAR</v>
      </c>
      <c r="E26" s="97"/>
      <c r="F26" s="97"/>
      <c r="G26" s="92"/>
      <c r="H26" s="93">
        <f>'Monthly wages'!CJ15</f>
        <v>18099</v>
      </c>
      <c r="I26" s="93"/>
      <c r="J26" s="93"/>
      <c r="K26" s="93">
        <f>'Monthly wages'!CL15</f>
        <v>2174</v>
      </c>
      <c r="L26" s="93"/>
      <c r="M26" s="93">
        <f>'Monthly wages'!CN15</f>
        <v>667</v>
      </c>
      <c r="N26" s="93"/>
      <c r="O26" s="93">
        <f>'Monthly wages'!CO15</f>
        <v>1507</v>
      </c>
      <c r="P26" s="93"/>
      <c r="Q26" s="93">
        <f t="shared" si="0"/>
        <v>4348</v>
      </c>
      <c r="R26" s="93"/>
      <c r="S26" s="93">
        <v>0</v>
      </c>
      <c r="T26" s="93"/>
      <c r="U26" s="93">
        <v>0</v>
      </c>
      <c r="V26" s="93"/>
      <c r="W26" s="94"/>
      <c r="X26" s="95"/>
    </row>
    <row r="27" spans="1:24">
      <c r="A27" s="77">
        <f t="shared" si="1"/>
        <v>13</v>
      </c>
      <c r="B27" s="91" t="str">
        <f>'Monthly wages'!A16</f>
        <v>0000013</v>
      </c>
      <c r="C27" s="92"/>
      <c r="D27" s="91" t="str">
        <f>UPPER('Monthly wages'!B16)</f>
        <v/>
      </c>
      <c r="E27" s="97"/>
      <c r="F27" s="97"/>
      <c r="G27" s="92"/>
      <c r="H27" s="93">
        <f>'Monthly wages'!CJ16</f>
        <v>22629</v>
      </c>
      <c r="I27" s="93"/>
      <c r="J27" s="93"/>
      <c r="K27" s="93">
        <f>'Monthly wages'!CL16</f>
        <v>2718</v>
      </c>
      <c r="L27" s="93"/>
      <c r="M27" s="93">
        <f>'Monthly wages'!CN16</f>
        <v>833</v>
      </c>
      <c r="N27" s="93"/>
      <c r="O27" s="93">
        <f>'Monthly wages'!CO16</f>
        <v>1885</v>
      </c>
      <c r="P27" s="93"/>
      <c r="Q27" s="93">
        <f t="shared" si="0"/>
        <v>5436</v>
      </c>
      <c r="R27" s="93"/>
      <c r="S27" s="93">
        <v>0</v>
      </c>
      <c r="T27" s="93"/>
      <c r="U27" s="93">
        <v>0</v>
      </c>
      <c r="V27" s="93"/>
      <c r="W27" s="94"/>
      <c r="X27" s="95"/>
    </row>
    <row r="28" spans="1:24">
      <c r="A28" s="77">
        <f t="shared" si="1"/>
        <v>14</v>
      </c>
      <c r="B28" s="91" t="str">
        <f>'Monthly wages'!A17</f>
        <v>0000014</v>
      </c>
      <c r="C28" s="92"/>
      <c r="D28" s="91" t="str">
        <f>UPPER('Monthly wages'!B17)</f>
        <v/>
      </c>
      <c r="E28" s="97"/>
      <c r="F28" s="97"/>
      <c r="G28" s="92"/>
      <c r="H28" s="93">
        <f>'Monthly wages'!CJ17</f>
        <v>25951</v>
      </c>
      <c r="I28" s="93"/>
      <c r="J28" s="93"/>
      <c r="K28" s="93">
        <f>'Monthly wages'!CL17</f>
        <v>3117</v>
      </c>
      <c r="L28" s="93"/>
      <c r="M28" s="93">
        <f>'Monthly wages'!CN17</f>
        <v>955</v>
      </c>
      <c r="N28" s="93"/>
      <c r="O28" s="93">
        <f>'Monthly wages'!CO17</f>
        <v>2162</v>
      </c>
      <c r="P28" s="93"/>
      <c r="Q28" s="93">
        <f t="shared" si="0"/>
        <v>6234</v>
      </c>
      <c r="R28" s="93"/>
      <c r="S28" s="93">
        <v>0</v>
      </c>
      <c r="T28" s="93"/>
      <c r="U28" s="93">
        <v>0</v>
      </c>
      <c r="V28" s="93"/>
      <c r="W28" s="94"/>
      <c r="X28" s="95"/>
    </row>
    <row r="29" spans="1:24">
      <c r="A29" s="77">
        <f t="shared" si="1"/>
        <v>15</v>
      </c>
      <c r="B29" s="91" t="str">
        <f>'Monthly wages'!A18</f>
        <v>0000015</v>
      </c>
      <c r="C29" s="92"/>
      <c r="D29" s="91" t="str">
        <f>UPPER('Monthly wages'!B18)</f>
        <v/>
      </c>
      <c r="E29" s="97"/>
      <c r="F29" s="97"/>
      <c r="G29" s="92"/>
      <c r="H29" s="93">
        <f>'Monthly wages'!CJ18</f>
        <v>23114</v>
      </c>
      <c r="I29" s="93"/>
      <c r="J29" s="93"/>
      <c r="K29" s="93">
        <f>'Monthly wages'!CL18</f>
        <v>2774</v>
      </c>
      <c r="L29" s="93"/>
      <c r="M29" s="93">
        <f>'Monthly wages'!CN18</f>
        <v>848</v>
      </c>
      <c r="N29" s="93"/>
      <c r="O29" s="93">
        <f>'Monthly wages'!CO18</f>
        <v>1926</v>
      </c>
      <c r="P29" s="93"/>
      <c r="Q29" s="93">
        <f t="shared" si="0"/>
        <v>5548</v>
      </c>
      <c r="R29" s="93"/>
      <c r="S29" s="93">
        <v>0</v>
      </c>
      <c r="T29" s="93"/>
      <c r="U29" s="93">
        <v>0</v>
      </c>
      <c r="V29" s="93"/>
      <c r="W29" s="94"/>
      <c r="X29" s="95"/>
    </row>
    <row r="30" spans="1:24">
      <c r="A30" s="77">
        <f t="shared" si="1"/>
        <v>16</v>
      </c>
      <c r="B30" s="91" t="str">
        <f>'Monthly wages'!A19</f>
        <v>0000016</v>
      </c>
      <c r="C30" s="92"/>
      <c r="D30" s="91" t="str">
        <f>UPPER('Monthly wages'!B19)</f>
        <v/>
      </c>
      <c r="E30" s="97"/>
      <c r="F30" s="97"/>
      <c r="G30" s="92"/>
      <c r="H30" s="93">
        <f>'Monthly wages'!CJ19</f>
        <v>25931</v>
      </c>
      <c r="I30" s="93"/>
      <c r="J30" s="93"/>
      <c r="K30" s="93">
        <f>'Monthly wages'!CL19</f>
        <v>3114</v>
      </c>
      <c r="L30" s="93"/>
      <c r="M30" s="93">
        <f>'Monthly wages'!CN19</f>
        <v>955</v>
      </c>
      <c r="N30" s="93"/>
      <c r="O30" s="93">
        <f>'Monthly wages'!CO19</f>
        <v>2159</v>
      </c>
      <c r="P30" s="93"/>
      <c r="Q30" s="93">
        <f t="shared" si="0"/>
        <v>6228</v>
      </c>
      <c r="R30" s="93"/>
      <c r="S30" s="93">
        <v>0</v>
      </c>
      <c r="T30" s="93"/>
      <c r="U30" s="93">
        <v>0</v>
      </c>
      <c r="V30" s="93"/>
      <c r="W30" s="94"/>
      <c r="X30" s="95"/>
    </row>
    <row r="31" spans="1:24">
      <c r="A31" s="77">
        <f t="shared" si="1"/>
        <v>17</v>
      </c>
      <c r="B31" s="91" t="str">
        <f>'Monthly wages'!A20</f>
        <v>0000017</v>
      </c>
      <c r="C31" s="92"/>
      <c r="D31" s="91" t="str">
        <f>UPPER('Monthly wages'!B20)</f>
        <v/>
      </c>
      <c r="E31" s="97"/>
      <c r="F31" s="97"/>
      <c r="G31" s="92"/>
      <c r="H31" s="93">
        <f>'Monthly wages'!CJ20</f>
        <v>44000</v>
      </c>
      <c r="I31" s="93"/>
      <c r="J31" s="93"/>
      <c r="K31" s="93">
        <f>'Monthly wages'!CL20</f>
        <v>5280</v>
      </c>
      <c r="L31" s="93"/>
      <c r="M31" s="93">
        <f>'Monthly wages'!CN20</f>
        <v>1616</v>
      </c>
      <c r="N31" s="93"/>
      <c r="O31" s="93">
        <f>'Monthly wages'!CO20</f>
        <v>3664</v>
      </c>
      <c r="P31" s="93"/>
      <c r="Q31" s="93">
        <f t="shared" si="0"/>
        <v>10560</v>
      </c>
      <c r="R31" s="93"/>
      <c r="S31" s="93">
        <v>0</v>
      </c>
      <c r="T31" s="93"/>
      <c r="U31" s="93">
        <v>0</v>
      </c>
      <c r="V31" s="93"/>
      <c r="W31" s="94"/>
      <c r="X31" s="95"/>
    </row>
    <row r="32" spans="1:24">
      <c r="A32" s="77">
        <f t="shared" si="1"/>
        <v>18</v>
      </c>
      <c r="B32" s="91" t="str">
        <f>'Monthly wages'!A21</f>
        <v>0000018</v>
      </c>
      <c r="C32" s="92"/>
      <c r="D32" s="91" t="str">
        <f>UPPER('Monthly wages'!B21)</f>
        <v/>
      </c>
      <c r="E32" s="97"/>
      <c r="F32" s="97"/>
      <c r="G32" s="92"/>
      <c r="H32" s="93">
        <f>'Monthly wages'!CJ21</f>
        <v>48000</v>
      </c>
      <c r="I32" s="93"/>
      <c r="J32" s="93"/>
      <c r="K32" s="93">
        <f>'Monthly wages'!CL21</f>
        <v>5760</v>
      </c>
      <c r="L32" s="93"/>
      <c r="M32" s="93">
        <f>'Monthly wages'!CN21</f>
        <v>1760</v>
      </c>
      <c r="N32" s="93"/>
      <c r="O32" s="93">
        <f>'Monthly wages'!CO21</f>
        <v>4000</v>
      </c>
      <c r="P32" s="93"/>
      <c r="Q32" s="93">
        <f t="shared" si="0"/>
        <v>11520</v>
      </c>
      <c r="R32" s="93"/>
      <c r="S32" s="93">
        <v>0</v>
      </c>
      <c r="T32" s="93"/>
      <c r="U32" s="93">
        <v>0</v>
      </c>
      <c r="V32" s="93"/>
      <c r="W32" s="94"/>
      <c r="X32" s="95"/>
    </row>
    <row r="33" spans="1:24">
      <c r="A33" s="77">
        <f t="shared" si="1"/>
        <v>19</v>
      </c>
      <c r="B33" s="91" t="str">
        <f>'Monthly wages'!A22</f>
        <v>0000019</v>
      </c>
      <c r="C33" s="92"/>
      <c r="D33" s="91" t="str">
        <f>UPPER('Monthly wages'!B22)</f>
        <v/>
      </c>
      <c r="E33" s="97"/>
      <c r="F33" s="97"/>
      <c r="G33" s="92"/>
      <c r="H33" s="93">
        <f>'Monthly wages'!CJ22</f>
        <v>28000</v>
      </c>
      <c r="I33" s="93"/>
      <c r="J33" s="93"/>
      <c r="K33" s="93">
        <f>'Monthly wages'!CL22</f>
        <v>3360</v>
      </c>
      <c r="L33" s="93"/>
      <c r="M33" s="93">
        <f>'Monthly wages'!CN22</f>
        <v>1024</v>
      </c>
      <c r="N33" s="93"/>
      <c r="O33" s="93">
        <f>'Monthly wages'!CO22</f>
        <v>2336</v>
      </c>
      <c r="P33" s="93"/>
      <c r="Q33" s="93">
        <f t="shared" si="0"/>
        <v>6720</v>
      </c>
      <c r="R33" s="93"/>
      <c r="S33" s="93">
        <v>0</v>
      </c>
      <c r="T33" s="93"/>
      <c r="U33" s="93">
        <v>0</v>
      </c>
      <c r="V33" s="93"/>
      <c r="W33" s="94"/>
      <c r="X33" s="95"/>
    </row>
    <row r="34" spans="1:24">
      <c r="A34" s="77">
        <f t="shared" si="1"/>
        <v>20</v>
      </c>
      <c r="B34" s="91" t="str">
        <f>'Monthly wages'!A23</f>
        <v>0000020</v>
      </c>
      <c r="C34" s="92"/>
      <c r="D34" s="91" t="str">
        <f>UPPER('Monthly wages'!B23)</f>
        <v/>
      </c>
      <c r="E34" s="97"/>
      <c r="F34" s="97"/>
      <c r="G34" s="92"/>
      <c r="H34" s="93">
        <f>'Monthly wages'!CJ23</f>
        <v>52000</v>
      </c>
      <c r="I34" s="93"/>
      <c r="J34" s="93"/>
      <c r="K34" s="93">
        <f>'Monthly wages'!CL23</f>
        <v>6240</v>
      </c>
      <c r="L34" s="93"/>
      <c r="M34" s="93">
        <f>'Monthly wages'!CN23</f>
        <v>1912</v>
      </c>
      <c r="N34" s="93"/>
      <c r="O34" s="93">
        <f>'Monthly wages'!CO23</f>
        <v>4328</v>
      </c>
      <c r="P34" s="93"/>
      <c r="Q34" s="93">
        <f t="shared" si="0"/>
        <v>12480</v>
      </c>
      <c r="R34" s="93"/>
      <c r="S34" s="93">
        <v>0</v>
      </c>
      <c r="T34" s="93"/>
      <c r="U34" s="93">
        <v>0</v>
      </c>
      <c r="V34" s="93"/>
      <c r="W34" s="94"/>
      <c r="X34" s="95"/>
    </row>
    <row r="35" spans="1:24">
      <c r="A35" s="77">
        <f t="shared" si="1"/>
        <v>21</v>
      </c>
      <c r="B35" s="91" t="str">
        <f>'Monthly wages'!A24</f>
        <v>0000021</v>
      </c>
      <c r="C35" s="92"/>
      <c r="D35" s="91" t="str">
        <f>UPPER('Monthly wages'!B24)</f>
        <v/>
      </c>
      <c r="E35" s="97"/>
      <c r="F35" s="97"/>
      <c r="G35" s="92"/>
      <c r="H35" s="93">
        <f>'Monthly wages'!CJ24</f>
        <v>16459</v>
      </c>
      <c r="I35" s="93"/>
      <c r="J35" s="93"/>
      <c r="K35" s="93">
        <f>'Monthly wages'!CL24</f>
        <v>1977</v>
      </c>
      <c r="L35" s="93"/>
      <c r="M35" s="93">
        <f>'Monthly wages'!CN24</f>
        <v>605</v>
      </c>
      <c r="N35" s="93"/>
      <c r="O35" s="93">
        <f>'Monthly wages'!CO24</f>
        <v>1372</v>
      </c>
      <c r="P35" s="93"/>
      <c r="Q35" s="93">
        <f t="shared" si="0"/>
        <v>3954</v>
      </c>
      <c r="R35" s="93"/>
      <c r="S35" s="93">
        <v>0</v>
      </c>
      <c r="T35" s="93"/>
      <c r="U35" s="93">
        <v>0</v>
      </c>
      <c r="V35" s="93"/>
      <c r="W35" s="94"/>
      <c r="X35" s="95"/>
    </row>
    <row r="36" spans="1:24">
      <c r="A36" s="77">
        <f t="shared" si="1"/>
        <v>22</v>
      </c>
      <c r="B36" s="91" t="str">
        <f>'Monthly wages'!A25</f>
        <v>0000022</v>
      </c>
      <c r="C36" s="92"/>
      <c r="D36" s="91" t="str">
        <f>UPPER('Monthly wages'!B25)</f>
        <v/>
      </c>
      <c r="E36" s="97"/>
      <c r="F36" s="97"/>
      <c r="G36" s="92"/>
      <c r="H36" s="93">
        <f>'Monthly wages'!CJ25</f>
        <v>0</v>
      </c>
      <c r="I36" s="93"/>
      <c r="J36" s="93"/>
      <c r="K36" s="93">
        <f>'Monthly wages'!CL25</f>
        <v>0</v>
      </c>
      <c r="L36" s="93"/>
      <c r="M36" s="93">
        <f>'Monthly wages'!CN25</f>
        <v>0</v>
      </c>
      <c r="N36" s="93"/>
      <c r="O36" s="93">
        <f>'Monthly wages'!CO25</f>
        <v>0</v>
      </c>
      <c r="P36" s="93"/>
      <c r="Q36" s="93">
        <f t="shared" si="0"/>
        <v>0</v>
      </c>
      <c r="R36" s="93"/>
      <c r="S36" s="93">
        <v>0</v>
      </c>
      <c r="T36" s="93"/>
      <c r="U36" s="93">
        <v>0</v>
      </c>
      <c r="V36" s="93"/>
      <c r="W36" s="94"/>
      <c r="X36" s="95"/>
    </row>
    <row r="37" spans="1:24">
      <c r="A37" s="77"/>
      <c r="B37" s="98"/>
      <c r="C37" s="99"/>
      <c r="D37" s="94"/>
      <c r="E37" s="94"/>
      <c r="F37" s="94"/>
      <c r="G37" s="94"/>
      <c r="H37" s="93"/>
      <c r="I37" s="93"/>
      <c r="J37" s="93"/>
      <c r="K37" s="93"/>
      <c r="L37" s="93"/>
      <c r="M37" s="93"/>
      <c r="N37" s="93"/>
      <c r="O37" s="93"/>
      <c r="P37" s="93"/>
      <c r="Q37" s="93"/>
      <c r="R37" s="93"/>
      <c r="S37" s="93"/>
      <c r="T37" s="93"/>
      <c r="U37" s="93"/>
      <c r="V37" s="93"/>
      <c r="W37" s="94"/>
      <c r="X37" s="95"/>
    </row>
    <row r="38" spans="1:24">
      <c r="A38" s="9"/>
      <c r="B38" s="3"/>
      <c r="C38" s="3"/>
      <c r="D38" s="96" t="s">
        <v>22</v>
      </c>
      <c r="E38" s="96"/>
      <c r="F38" s="96"/>
      <c r="G38" s="96"/>
      <c r="H38" s="93">
        <f>SUM(H15:J37)</f>
        <v>507189</v>
      </c>
      <c r="I38" s="93"/>
      <c r="J38" s="93"/>
      <c r="K38" s="93">
        <f>SUM(K15:L37)</f>
        <v>60894</v>
      </c>
      <c r="L38" s="93"/>
      <c r="M38" s="93">
        <f>SUM(M15:N37)</f>
        <v>18649</v>
      </c>
      <c r="N38" s="93"/>
      <c r="O38" s="93">
        <f>SUM(O15:P37)</f>
        <v>42245</v>
      </c>
      <c r="P38" s="93"/>
      <c r="Q38" s="93">
        <f>SUM(Q15:R37)</f>
        <v>121788</v>
      </c>
      <c r="R38" s="93"/>
      <c r="S38" s="3"/>
      <c r="T38" s="3"/>
      <c r="U38" s="3"/>
      <c r="V38" s="3"/>
      <c r="W38" s="3"/>
      <c r="X38" s="4"/>
    </row>
    <row r="39" spans="1:24" ht="13.5" thickBot="1">
      <c r="A39" s="78"/>
      <c r="B39" s="16"/>
      <c r="C39" s="16"/>
      <c r="D39" s="16"/>
      <c r="E39" s="16"/>
      <c r="F39" s="16"/>
      <c r="G39" s="16"/>
      <c r="H39" s="16"/>
      <c r="I39" s="16"/>
      <c r="J39" s="16"/>
      <c r="K39" s="16"/>
      <c r="L39" s="16"/>
      <c r="M39" s="16"/>
      <c r="N39" s="16"/>
      <c r="O39" s="16"/>
      <c r="P39" s="16"/>
      <c r="Q39" s="16"/>
      <c r="R39" s="16"/>
      <c r="S39" s="16"/>
      <c r="T39" s="16"/>
      <c r="U39" s="16"/>
      <c r="V39" s="16"/>
      <c r="W39" s="16"/>
      <c r="X39" s="17"/>
    </row>
  </sheetData>
  <sheetProtection selectLockedCells="1"/>
  <mergeCells count="276">
    <mergeCell ref="B8:E9"/>
    <mergeCell ref="F8:K8"/>
    <mergeCell ref="F9:K9"/>
    <mergeCell ref="N9:X9"/>
    <mergeCell ref="F10:K10"/>
    <mergeCell ref="M10:T10"/>
    <mergeCell ref="H1:R1"/>
    <mergeCell ref="W1:X1"/>
    <mergeCell ref="H2:R2"/>
    <mergeCell ref="H3:R3"/>
    <mergeCell ref="H4:R4"/>
    <mergeCell ref="A6:I6"/>
    <mergeCell ref="J6:K6"/>
    <mergeCell ref="L6:M6"/>
    <mergeCell ref="N6:O6"/>
    <mergeCell ref="B11:E11"/>
    <mergeCell ref="F11:K11"/>
    <mergeCell ref="N11:X11"/>
    <mergeCell ref="F12:K12"/>
    <mergeCell ref="O12:X12"/>
    <mergeCell ref="B13:C13"/>
    <mergeCell ref="D13:G13"/>
    <mergeCell ref="H13:J13"/>
    <mergeCell ref="K13:L13"/>
    <mergeCell ref="M13:N13"/>
    <mergeCell ref="O13:P13"/>
    <mergeCell ref="Q13:R13"/>
    <mergeCell ref="S13:T13"/>
    <mergeCell ref="U13:V13"/>
    <mergeCell ref="W13:X13"/>
    <mergeCell ref="B14:C14"/>
    <mergeCell ref="D14:G14"/>
    <mergeCell ref="H14:J14"/>
    <mergeCell ref="K14:L14"/>
    <mergeCell ref="M14:N14"/>
    <mergeCell ref="O14:P14"/>
    <mergeCell ref="Q14:R14"/>
    <mergeCell ref="S14:T14"/>
    <mergeCell ref="U14:V14"/>
    <mergeCell ref="W14:X14"/>
    <mergeCell ref="D15:G15"/>
    <mergeCell ref="H15:J15"/>
    <mergeCell ref="K15:L15"/>
    <mergeCell ref="M15:N15"/>
    <mergeCell ref="O15:P15"/>
    <mergeCell ref="Q15:R15"/>
    <mergeCell ref="S15:T15"/>
    <mergeCell ref="U15:V15"/>
    <mergeCell ref="W15:X15"/>
    <mergeCell ref="W16:X16"/>
    <mergeCell ref="D17:G17"/>
    <mergeCell ref="H17:J17"/>
    <mergeCell ref="K17:L17"/>
    <mergeCell ref="M17:N17"/>
    <mergeCell ref="O17:P17"/>
    <mergeCell ref="Q17:R17"/>
    <mergeCell ref="S17:T17"/>
    <mergeCell ref="U17:V17"/>
    <mergeCell ref="W17:X17"/>
    <mergeCell ref="D16:G16"/>
    <mergeCell ref="H16:J16"/>
    <mergeCell ref="K16:L16"/>
    <mergeCell ref="M16:N16"/>
    <mergeCell ref="O16:P16"/>
    <mergeCell ref="Q16:R16"/>
    <mergeCell ref="S16:T16"/>
    <mergeCell ref="U16:V16"/>
    <mergeCell ref="W18:X18"/>
    <mergeCell ref="D19:G19"/>
    <mergeCell ref="H19:J19"/>
    <mergeCell ref="K19:L19"/>
    <mergeCell ref="M19:N19"/>
    <mergeCell ref="O19:P19"/>
    <mergeCell ref="Q19:R19"/>
    <mergeCell ref="S19:T19"/>
    <mergeCell ref="U19:V19"/>
    <mergeCell ref="W19:X19"/>
    <mergeCell ref="D18:G18"/>
    <mergeCell ref="H18:J18"/>
    <mergeCell ref="K18:L18"/>
    <mergeCell ref="M18:N18"/>
    <mergeCell ref="O18:P18"/>
    <mergeCell ref="Q18:R18"/>
    <mergeCell ref="S18:T18"/>
    <mergeCell ref="U18:V18"/>
    <mergeCell ref="W20:X20"/>
    <mergeCell ref="D21:G21"/>
    <mergeCell ref="H21:J21"/>
    <mergeCell ref="K21:L21"/>
    <mergeCell ref="M21:N21"/>
    <mergeCell ref="O21:P21"/>
    <mergeCell ref="Q21:R21"/>
    <mergeCell ref="S21:T21"/>
    <mergeCell ref="U21:V21"/>
    <mergeCell ref="W21:X21"/>
    <mergeCell ref="D20:G20"/>
    <mergeCell ref="H20:J20"/>
    <mergeCell ref="K20:L20"/>
    <mergeCell ref="M20:N20"/>
    <mergeCell ref="O20:P20"/>
    <mergeCell ref="Q20:R20"/>
    <mergeCell ref="S20:T20"/>
    <mergeCell ref="U20:V20"/>
    <mergeCell ref="W22:X22"/>
    <mergeCell ref="D23:G23"/>
    <mergeCell ref="H23:J23"/>
    <mergeCell ref="K23:L23"/>
    <mergeCell ref="M23:N23"/>
    <mergeCell ref="O23:P23"/>
    <mergeCell ref="Q23:R23"/>
    <mergeCell ref="S23:T23"/>
    <mergeCell ref="U23:V23"/>
    <mergeCell ref="W23:X23"/>
    <mergeCell ref="D22:G22"/>
    <mergeCell ref="H22:J22"/>
    <mergeCell ref="K22:L22"/>
    <mergeCell ref="M22:N22"/>
    <mergeCell ref="O22:P22"/>
    <mergeCell ref="Q22:R22"/>
    <mergeCell ref="S22:T22"/>
    <mergeCell ref="U22:V22"/>
    <mergeCell ref="W24:X24"/>
    <mergeCell ref="D25:G25"/>
    <mergeCell ref="H25:J25"/>
    <mergeCell ref="K25:L25"/>
    <mergeCell ref="M25:N25"/>
    <mergeCell ref="O25:P25"/>
    <mergeCell ref="Q25:R25"/>
    <mergeCell ref="S25:T25"/>
    <mergeCell ref="U25:V25"/>
    <mergeCell ref="W25:X25"/>
    <mergeCell ref="D24:G24"/>
    <mergeCell ref="H24:J24"/>
    <mergeCell ref="K24:L24"/>
    <mergeCell ref="M24:N24"/>
    <mergeCell ref="O24:P24"/>
    <mergeCell ref="Q24:R24"/>
    <mergeCell ref="S24:T24"/>
    <mergeCell ref="U24:V24"/>
    <mergeCell ref="W26:X26"/>
    <mergeCell ref="D27:G27"/>
    <mergeCell ref="H27:J27"/>
    <mergeCell ref="K27:L27"/>
    <mergeCell ref="M27:N27"/>
    <mergeCell ref="O27:P27"/>
    <mergeCell ref="Q27:R27"/>
    <mergeCell ref="S27:T27"/>
    <mergeCell ref="U27:V27"/>
    <mergeCell ref="W27:X27"/>
    <mergeCell ref="D26:G26"/>
    <mergeCell ref="H26:J26"/>
    <mergeCell ref="K26:L26"/>
    <mergeCell ref="M26:N26"/>
    <mergeCell ref="O26:P26"/>
    <mergeCell ref="Q26:R26"/>
    <mergeCell ref="S26:T26"/>
    <mergeCell ref="U26:V26"/>
    <mergeCell ref="W28:X28"/>
    <mergeCell ref="D29:G29"/>
    <mergeCell ref="H29:J29"/>
    <mergeCell ref="K29:L29"/>
    <mergeCell ref="M29:N29"/>
    <mergeCell ref="O29:P29"/>
    <mergeCell ref="Q29:R29"/>
    <mergeCell ref="S29:T29"/>
    <mergeCell ref="U29:V29"/>
    <mergeCell ref="W29:X29"/>
    <mergeCell ref="D28:G28"/>
    <mergeCell ref="H28:J28"/>
    <mergeCell ref="K28:L28"/>
    <mergeCell ref="M28:N28"/>
    <mergeCell ref="O28:P28"/>
    <mergeCell ref="Q28:R28"/>
    <mergeCell ref="S28:T28"/>
    <mergeCell ref="U28:V28"/>
    <mergeCell ref="W30:X30"/>
    <mergeCell ref="D31:G31"/>
    <mergeCell ref="H31:J31"/>
    <mergeCell ref="K31:L31"/>
    <mergeCell ref="M31:N31"/>
    <mergeCell ref="O31:P31"/>
    <mergeCell ref="Q31:R31"/>
    <mergeCell ref="S31:T31"/>
    <mergeCell ref="U31:V31"/>
    <mergeCell ref="W31:X31"/>
    <mergeCell ref="D30:G30"/>
    <mergeCell ref="H30:J30"/>
    <mergeCell ref="K30:L30"/>
    <mergeCell ref="M30:N30"/>
    <mergeCell ref="O30:P30"/>
    <mergeCell ref="Q30:R30"/>
    <mergeCell ref="S30:T30"/>
    <mergeCell ref="U30:V30"/>
    <mergeCell ref="W32:X32"/>
    <mergeCell ref="D33:G33"/>
    <mergeCell ref="H33:J33"/>
    <mergeCell ref="K33:L33"/>
    <mergeCell ref="M33:N33"/>
    <mergeCell ref="O33:P33"/>
    <mergeCell ref="Q33:R33"/>
    <mergeCell ref="S33:T33"/>
    <mergeCell ref="U33:V33"/>
    <mergeCell ref="W33:X33"/>
    <mergeCell ref="D32:G32"/>
    <mergeCell ref="H32:J32"/>
    <mergeCell ref="K32:L32"/>
    <mergeCell ref="M32:N32"/>
    <mergeCell ref="O32:P32"/>
    <mergeCell ref="Q32:R32"/>
    <mergeCell ref="S32:T32"/>
    <mergeCell ref="U32:V32"/>
    <mergeCell ref="W34:X34"/>
    <mergeCell ref="D35:G35"/>
    <mergeCell ref="H35:J35"/>
    <mergeCell ref="K35:L35"/>
    <mergeCell ref="M35:N35"/>
    <mergeCell ref="O35:P35"/>
    <mergeCell ref="Q35:R35"/>
    <mergeCell ref="S35:T35"/>
    <mergeCell ref="U35:V35"/>
    <mergeCell ref="W35:X35"/>
    <mergeCell ref="D34:G34"/>
    <mergeCell ref="H34:J34"/>
    <mergeCell ref="K34:L34"/>
    <mergeCell ref="M34:N34"/>
    <mergeCell ref="O34:P34"/>
    <mergeCell ref="Q34:R34"/>
    <mergeCell ref="S34:T34"/>
    <mergeCell ref="U34:V34"/>
    <mergeCell ref="B37:C37"/>
    <mergeCell ref="D37:G37"/>
    <mergeCell ref="H37:J37"/>
    <mergeCell ref="K37:L37"/>
    <mergeCell ref="M37:N37"/>
    <mergeCell ref="Q38:R38"/>
    <mergeCell ref="O37:P37"/>
    <mergeCell ref="Q37:R37"/>
    <mergeCell ref="S37:T37"/>
    <mergeCell ref="U37:V37"/>
    <mergeCell ref="W37:X37"/>
    <mergeCell ref="D38:G38"/>
    <mergeCell ref="H38:J38"/>
    <mergeCell ref="K38:L38"/>
    <mergeCell ref="M38:N38"/>
    <mergeCell ref="O38:P38"/>
    <mergeCell ref="D36:G36"/>
    <mergeCell ref="H36:J36"/>
    <mergeCell ref="K36:L36"/>
    <mergeCell ref="M36:N36"/>
    <mergeCell ref="O36:P36"/>
    <mergeCell ref="Q36:R36"/>
    <mergeCell ref="S36:T36"/>
    <mergeCell ref="U36:V36"/>
    <mergeCell ref="W36:X36"/>
    <mergeCell ref="B15:C15"/>
    <mergeCell ref="B16:C16"/>
    <mergeCell ref="B17:C17"/>
    <mergeCell ref="B18:C18"/>
    <mergeCell ref="B19:C19"/>
    <mergeCell ref="B20:C20"/>
    <mergeCell ref="B21:C21"/>
    <mergeCell ref="B22:C22"/>
    <mergeCell ref="B23:C23"/>
    <mergeCell ref="B33:C33"/>
    <mergeCell ref="B34:C34"/>
    <mergeCell ref="B35:C35"/>
    <mergeCell ref="B36:C36"/>
    <mergeCell ref="B24:C24"/>
    <mergeCell ref="B25:C25"/>
    <mergeCell ref="B26:C26"/>
    <mergeCell ref="B27:C27"/>
    <mergeCell ref="B28:C28"/>
    <mergeCell ref="B29:C29"/>
    <mergeCell ref="B30:C30"/>
    <mergeCell ref="B31:C31"/>
    <mergeCell ref="B32:C32"/>
  </mergeCells>
  <conditionalFormatting sqref="H38:R38">
    <cfRule type="cellIs" dxfId="0" priority="1" stopIfTrue="1" operator="lessThanOrEqual">
      <formula>0</formula>
    </cfRule>
  </conditionalFormatting>
  <pageMargins left="0.39370078740157483" right="0.31496062992125984" top="0.19685039370078741" bottom="0.19685039370078741"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1:BC43"/>
  <sheetViews>
    <sheetView showGridLines="0" tabSelected="1" topLeftCell="A6" zoomScale="120" workbookViewId="0">
      <selection activeCell="I6" sqref="I6:K6"/>
    </sheetView>
  </sheetViews>
  <sheetFormatPr defaultRowHeight="12.75"/>
  <cols>
    <col min="1" max="1" width="3.42578125" style="46" customWidth="1"/>
    <col min="2" max="2" width="5.28515625" style="46" customWidth="1"/>
    <col min="3" max="3" width="4.28515625" style="46" customWidth="1"/>
    <col min="4" max="7" width="6.5703125" style="46" customWidth="1"/>
    <col min="8" max="10" width="5.85546875" style="46" customWidth="1"/>
    <col min="11" max="11" width="11.7109375" style="46" customWidth="1"/>
    <col min="12" max="12" width="5.5703125" style="46" customWidth="1"/>
    <col min="13" max="13" width="6" style="46" customWidth="1"/>
    <col min="14" max="14" width="9.28515625" style="46" customWidth="1"/>
    <col min="15" max="16" width="6" style="46" customWidth="1"/>
    <col min="17" max="20" width="6.42578125" style="46" customWidth="1"/>
    <col min="21" max="21" width="5.7109375" style="46" customWidth="1"/>
    <col min="22" max="22" width="7.42578125" style="46" customWidth="1"/>
    <col min="23" max="24" width="5.7109375" style="46" customWidth="1"/>
    <col min="25" max="51" width="5.7109375" style="46" hidden="1" customWidth="1"/>
    <col min="52" max="52" width="5.7109375" style="46" customWidth="1"/>
    <col min="53" max="16384" width="9.140625" style="46"/>
  </cols>
  <sheetData>
    <row r="1" spans="1:55" ht="15.75">
      <c r="A1" s="44"/>
      <c r="B1" s="45"/>
      <c r="C1" s="45"/>
      <c r="D1" s="45"/>
      <c r="E1" s="45"/>
      <c r="F1" s="45"/>
      <c r="G1" s="45"/>
      <c r="H1" s="163" t="s">
        <v>0</v>
      </c>
      <c r="I1" s="163"/>
      <c r="J1" s="163"/>
      <c r="K1" s="163"/>
      <c r="L1" s="163"/>
      <c r="M1" s="163"/>
      <c r="N1" s="163"/>
      <c r="O1" s="163"/>
      <c r="P1" s="163"/>
      <c r="Q1" s="163"/>
      <c r="R1" s="163"/>
      <c r="S1" s="45"/>
      <c r="T1" s="45"/>
      <c r="U1" s="164" t="s">
        <v>60</v>
      </c>
      <c r="V1" s="165"/>
      <c r="AA1" s="47" t="str">
        <f>'Monthly wages'!A4</f>
        <v>0000001</v>
      </c>
    </row>
    <row r="2" spans="1:55">
      <c r="A2" s="48"/>
      <c r="B2" s="49"/>
      <c r="C2" s="49"/>
      <c r="D2" s="49"/>
      <c r="E2" s="49"/>
      <c r="F2" s="49"/>
      <c r="G2" s="49"/>
      <c r="H2" s="166" t="s">
        <v>23</v>
      </c>
      <c r="I2" s="166"/>
      <c r="J2" s="166"/>
      <c r="K2" s="166"/>
      <c r="L2" s="166"/>
      <c r="M2" s="166"/>
      <c r="N2" s="166"/>
      <c r="O2" s="166"/>
      <c r="P2" s="166"/>
      <c r="Q2" s="166"/>
      <c r="R2" s="166"/>
      <c r="S2" s="49"/>
      <c r="T2" s="49"/>
      <c r="U2" s="49"/>
      <c r="V2" s="50"/>
      <c r="AA2" s="47" t="str">
        <f>'Monthly wages'!A5</f>
        <v>0000002</v>
      </c>
    </row>
    <row r="3" spans="1:55" ht="15.75">
      <c r="A3" s="48"/>
      <c r="B3" s="49"/>
      <c r="C3" s="49"/>
      <c r="D3" s="49"/>
      <c r="E3" s="49"/>
      <c r="F3" s="49"/>
      <c r="G3" s="49"/>
      <c r="H3" s="167" t="s">
        <v>3</v>
      </c>
      <c r="I3" s="167"/>
      <c r="J3" s="167"/>
      <c r="K3" s="167"/>
      <c r="L3" s="167"/>
      <c r="M3" s="167"/>
      <c r="N3" s="167"/>
      <c r="O3" s="167"/>
      <c r="P3" s="167"/>
      <c r="Q3" s="167"/>
      <c r="R3" s="167"/>
      <c r="S3" s="49"/>
      <c r="T3" s="49"/>
      <c r="U3" s="49"/>
      <c r="V3" s="50"/>
      <c r="AA3" s="47" t="str">
        <f>'Monthly wages'!A6</f>
        <v>0000003</v>
      </c>
    </row>
    <row r="4" spans="1:55">
      <c r="A4" s="48"/>
      <c r="B4" s="49"/>
      <c r="C4" s="49"/>
      <c r="D4" s="49"/>
      <c r="E4" s="49"/>
      <c r="F4" s="49"/>
      <c r="G4" s="49"/>
      <c r="H4" s="166" t="s">
        <v>24</v>
      </c>
      <c r="I4" s="166"/>
      <c r="J4" s="166"/>
      <c r="K4" s="166"/>
      <c r="L4" s="166"/>
      <c r="M4" s="166"/>
      <c r="N4" s="166"/>
      <c r="O4" s="166"/>
      <c r="P4" s="166"/>
      <c r="Q4" s="166"/>
      <c r="R4" s="166"/>
      <c r="S4" s="49"/>
      <c r="T4" s="49"/>
      <c r="U4" s="49"/>
      <c r="V4" s="50"/>
      <c r="AA4" s="47" t="str">
        <f>'Monthly wages'!A7</f>
        <v>0000004</v>
      </c>
    </row>
    <row r="5" spans="1:55" ht="8.1" customHeight="1">
      <c r="A5" s="48"/>
      <c r="B5" s="49"/>
      <c r="C5" s="49"/>
      <c r="D5" s="49"/>
      <c r="E5" s="49"/>
      <c r="F5" s="49"/>
      <c r="G5" s="49"/>
      <c r="H5" s="49"/>
      <c r="I5" s="49"/>
      <c r="J5" s="49"/>
      <c r="K5" s="49"/>
      <c r="L5" s="49"/>
      <c r="M5" s="49"/>
      <c r="N5" s="49"/>
      <c r="O5" s="49"/>
      <c r="P5" s="49"/>
      <c r="Q5" s="49"/>
      <c r="R5" s="49"/>
      <c r="S5" s="49"/>
      <c r="T5" s="49"/>
      <c r="U5" s="49"/>
      <c r="V5" s="50"/>
      <c r="AA5" s="47" t="str">
        <f>'Monthly wages'!A8</f>
        <v>0000005</v>
      </c>
    </row>
    <row r="6" spans="1:55">
      <c r="A6" s="142" t="s">
        <v>25</v>
      </c>
      <c r="B6" s="143"/>
      <c r="C6" s="143"/>
      <c r="D6" s="143"/>
      <c r="E6" s="143"/>
      <c r="F6" s="143"/>
      <c r="G6" s="143"/>
      <c r="H6" s="143"/>
      <c r="I6" s="189">
        <v>2012</v>
      </c>
      <c r="J6" s="189"/>
      <c r="K6" s="189"/>
      <c r="L6" s="168" t="s">
        <v>5</v>
      </c>
      <c r="M6" s="168"/>
      <c r="N6" s="190">
        <v>2013</v>
      </c>
      <c r="O6" s="190"/>
      <c r="P6" s="49"/>
      <c r="Q6" s="49"/>
      <c r="R6" s="49"/>
      <c r="S6" s="49"/>
      <c r="T6" s="49"/>
      <c r="U6" s="49"/>
      <c r="V6" s="50"/>
      <c r="AA6" s="47" t="str">
        <f>'Monthly wages'!A9</f>
        <v>0000006</v>
      </c>
    </row>
    <row r="7" spans="1:55" ht="8.1" customHeight="1">
      <c r="A7" s="51"/>
      <c r="B7" s="52"/>
      <c r="C7" s="52"/>
      <c r="D7" s="52"/>
      <c r="E7" s="52"/>
      <c r="F7" s="52"/>
      <c r="G7" s="52"/>
      <c r="H7" s="52"/>
      <c r="I7" s="87"/>
      <c r="J7" s="87"/>
      <c r="K7" s="88"/>
      <c r="L7" s="88"/>
      <c r="M7" s="88"/>
      <c r="N7" s="87"/>
      <c r="O7" s="87"/>
      <c r="P7" s="49"/>
      <c r="Q7" s="49"/>
      <c r="R7" s="49"/>
      <c r="S7" s="49"/>
      <c r="T7" s="49"/>
      <c r="U7" s="49"/>
      <c r="V7" s="50"/>
      <c r="AA7" s="47" t="str">
        <f>'Monthly wages'!A10</f>
        <v>0000007</v>
      </c>
    </row>
    <row r="8" spans="1:55" ht="12.75" customHeight="1">
      <c r="A8" s="53">
        <v>1</v>
      </c>
      <c r="B8" s="146" t="s">
        <v>12</v>
      </c>
      <c r="C8" s="146"/>
      <c r="D8" s="146"/>
      <c r="E8" s="146"/>
      <c r="F8" s="189" t="s">
        <v>84</v>
      </c>
      <c r="G8" s="189"/>
      <c r="H8" s="189"/>
      <c r="I8" s="189"/>
      <c r="J8" s="189"/>
      <c r="K8" s="189"/>
      <c r="L8" s="88">
        <v>4</v>
      </c>
      <c r="M8" s="87" t="s">
        <v>28</v>
      </c>
      <c r="N8" s="87"/>
      <c r="O8" s="87"/>
      <c r="P8" s="87"/>
      <c r="Q8" s="49"/>
      <c r="R8" s="49"/>
      <c r="S8" s="49"/>
      <c r="T8" s="49"/>
      <c r="U8" s="49"/>
      <c r="V8" s="50"/>
      <c r="AA8" s="47" t="str">
        <f>'Monthly wages'!A11</f>
        <v>0000008</v>
      </c>
    </row>
    <row r="9" spans="1:55">
      <c r="A9" s="53">
        <v>2</v>
      </c>
      <c r="B9" s="49" t="s">
        <v>26</v>
      </c>
      <c r="C9" s="54"/>
      <c r="D9" s="54"/>
      <c r="E9" s="54"/>
      <c r="F9" s="136" t="str">
        <f>VLOOKUP(F8,'Monthly wages'!$A$4:$B$25,2,0)</f>
        <v>Mantu Kumar</v>
      </c>
      <c r="G9" s="136"/>
      <c r="H9" s="136"/>
      <c r="I9" s="136"/>
      <c r="J9" s="136"/>
      <c r="K9" s="136"/>
      <c r="L9" s="88"/>
      <c r="M9" s="215"/>
      <c r="N9" s="191"/>
      <c r="O9" s="191"/>
      <c r="P9" s="191"/>
      <c r="Q9" s="191"/>
      <c r="R9" s="191"/>
      <c r="S9" s="191"/>
      <c r="T9" s="191"/>
      <c r="U9" s="191"/>
      <c r="V9" s="216"/>
      <c r="AA9" s="47" t="str">
        <f>'Monthly wages'!A12</f>
        <v>0000009</v>
      </c>
    </row>
    <row r="10" spans="1:55" ht="13.5" thickBot="1">
      <c r="A10" s="57"/>
      <c r="B10" s="49"/>
      <c r="C10" s="49"/>
      <c r="D10" s="49"/>
      <c r="E10" s="49"/>
      <c r="F10" s="136"/>
      <c r="G10" s="136"/>
      <c r="H10" s="136"/>
      <c r="I10" s="136"/>
      <c r="J10" s="136"/>
      <c r="K10" s="136"/>
      <c r="L10" s="88">
        <v>5</v>
      </c>
      <c r="M10" s="147" t="s">
        <v>7</v>
      </c>
      <c r="N10" s="148"/>
      <c r="O10" s="148"/>
      <c r="P10" s="148"/>
      <c r="Q10" s="148"/>
      <c r="R10" s="217"/>
      <c r="S10" s="217"/>
      <c r="T10" s="217"/>
      <c r="U10" s="217"/>
      <c r="V10" s="218"/>
      <c r="AA10" s="196" t="str">
        <f>'Monthly wages'!A13</f>
        <v>0000010</v>
      </c>
    </row>
    <row r="11" spans="1:55" ht="15">
      <c r="A11" s="57">
        <v>3</v>
      </c>
      <c r="B11" s="143" t="s">
        <v>27</v>
      </c>
      <c r="C11" s="143"/>
      <c r="D11" s="143"/>
      <c r="E11" s="143"/>
      <c r="F11" s="136" t="str">
        <f>VLOOKUP(F8,'Monthly wages'!$A$4:$C$25,3,0)</f>
        <v>Jagnath Prasad</v>
      </c>
      <c r="G11" s="136"/>
      <c r="H11" s="136"/>
      <c r="I11" s="136"/>
      <c r="J11" s="136"/>
      <c r="K11" s="136"/>
      <c r="L11" s="88">
        <v>6</v>
      </c>
      <c r="M11" s="87" t="s">
        <v>29</v>
      </c>
      <c r="N11" s="49"/>
      <c r="O11" s="49"/>
      <c r="P11" s="49"/>
      <c r="Q11" s="49"/>
      <c r="R11" s="49"/>
      <c r="S11" s="49"/>
      <c r="T11" s="49"/>
      <c r="U11" s="217"/>
      <c r="V11" s="218"/>
      <c r="X11" s="197" t="s">
        <v>234</v>
      </c>
      <c r="Y11" s="198"/>
      <c r="Z11" s="198"/>
      <c r="AA11" s="199" t="str">
        <f>'Monthly wages'!A14</f>
        <v>0000011</v>
      </c>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c r="AX11" s="198"/>
      <c r="AY11" s="198"/>
      <c r="AZ11" s="198"/>
      <c r="BA11" s="198"/>
      <c r="BB11" s="198"/>
      <c r="BC11" s="200"/>
    </row>
    <row r="12" spans="1:55" ht="15">
      <c r="A12" s="58"/>
      <c r="B12" s="89"/>
      <c r="C12" s="89"/>
      <c r="D12" s="89"/>
      <c r="E12" s="89"/>
      <c r="F12" s="89"/>
      <c r="G12" s="89"/>
      <c r="H12" s="89"/>
      <c r="I12" s="89"/>
      <c r="J12" s="89"/>
      <c r="K12" s="89"/>
      <c r="L12" s="59"/>
      <c r="M12" s="89"/>
      <c r="N12" s="55"/>
      <c r="O12" s="55"/>
      <c r="P12" s="55"/>
      <c r="Q12" s="55"/>
      <c r="R12" s="55"/>
      <c r="S12" s="55"/>
      <c r="T12" s="55"/>
      <c r="U12" s="55"/>
      <c r="V12" s="56"/>
      <c r="X12" s="201" t="s">
        <v>236</v>
      </c>
      <c r="Y12" s="202"/>
      <c r="Z12" s="202"/>
      <c r="AA12" s="188" t="str">
        <f>'Monthly wages'!A15</f>
        <v>0000012</v>
      </c>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3"/>
    </row>
    <row r="13" spans="1:55" ht="15">
      <c r="A13" s="132" t="s">
        <v>46</v>
      </c>
      <c r="B13" s="133"/>
      <c r="C13" s="133"/>
      <c r="D13" s="133"/>
      <c r="E13" s="133"/>
      <c r="F13" s="133"/>
      <c r="G13" s="133"/>
      <c r="H13" s="133"/>
      <c r="I13" s="133"/>
      <c r="J13" s="133"/>
      <c r="K13" s="133"/>
      <c r="L13" s="133"/>
      <c r="M13" s="133"/>
      <c r="N13" s="133"/>
      <c r="O13" s="133"/>
      <c r="P13" s="133"/>
      <c r="Q13" s="133"/>
      <c r="R13" s="133"/>
      <c r="S13" s="133"/>
      <c r="T13" s="133"/>
      <c r="U13" s="133"/>
      <c r="V13" s="134"/>
      <c r="X13" s="201" t="s">
        <v>237</v>
      </c>
      <c r="Y13" s="202"/>
      <c r="Z13" s="202"/>
      <c r="AA13" s="188" t="str">
        <f>'Monthly wages'!A16</f>
        <v>0000013</v>
      </c>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3"/>
    </row>
    <row r="14" spans="1:55" s="60" customFormat="1" ht="12.75" customHeight="1">
      <c r="A14" s="123" t="s">
        <v>30</v>
      </c>
      <c r="B14" s="124"/>
      <c r="C14" s="124"/>
      <c r="D14" s="150" t="s">
        <v>31</v>
      </c>
      <c r="E14" s="150"/>
      <c r="F14" s="150"/>
      <c r="G14" s="150"/>
      <c r="H14" s="124" t="s">
        <v>34</v>
      </c>
      <c r="I14" s="124"/>
      <c r="J14" s="124"/>
      <c r="K14" s="124"/>
      <c r="L14" s="124"/>
      <c r="M14" s="124"/>
      <c r="N14" s="124"/>
      <c r="O14" s="124" t="s">
        <v>40</v>
      </c>
      <c r="P14" s="124"/>
      <c r="Q14" s="124" t="s">
        <v>41</v>
      </c>
      <c r="R14" s="124"/>
      <c r="S14" s="124"/>
      <c r="T14" s="124"/>
      <c r="U14" s="124" t="s">
        <v>21</v>
      </c>
      <c r="V14" s="141"/>
      <c r="X14" s="201"/>
      <c r="Y14" s="204"/>
      <c r="Z14" s="204"/>
      <c r="AA14" s="188" t="str">
        <f>'Monthly wages'!A17</f>
        <v>0000014</v>
      </c>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5"/>
    </row>
    <row r="15" spans="1:55" s="60" customFormat="1" ht="37.5" customHeight="1">
      <c r="A15" s="123"/>
      <c r="B15" s="124"/>
      <c r="C15" s="124"/>
      <c r="D15" s="124" t="s">
        <v>32</v>
      </c>
      <c r="E15" s="124"/>
      <c r="F15" s="124" t="s">
        <v>33</v>
      </c>
      <c r="G15" s="124"/>
      <c r="H15" s="124" t="s">
        <v>35</v>
      </c>
      <c r="I15" s="124"/>
      <c r="J15" s="124"/>
      <c r="K15" s="124" t="s">
        <v>37</v>
      </c>
      <c r="L15" s="124"/>
      <c r="M15" s="124" t="s">
        <v>18</v>
      </c>
      <c r="N15" s="124"/>
      <c r="O15" s="124"/>
      <c r="P15" s="124"/>
      <c r="Q15" s="124" t="s">
        <v>42</v>
      </c>
      <c r="R15" s="124"/>
      <c r="S15" s="124" t="s">
        <v>43</v>
      </c>
      <c r="T15" s="124"/>
      <c r="U15" s="124"/>
      <c r="V15" s="141"/>
      <c r="X15" s="201" t="s">
        <v>238</v>
      </c>
      <c r="Y15" s="204"/>
      <c r="Z15" s="204"/>
      <c r="AA15" s="188" t="str">
        <f>'Monthly wages'!A18</f>
        <v>0000015</v>
      </c>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5"/>
    </row>
    <row r="16" spans="1:55" s="61" customFormat="1" ht="12.75" customHeight="1" thickBot="1">
      <c r="A16" s="149">
        <v>1</v>
      </c>
      <c r="B16" s="144"/>
      <c r="C16" s="144"/>
      <c r="D16" s="144">
        <v>2</v>
      </c>
      <c r="E16" s="144"/>
      <c r="F16" s="144">
        <v>3</v>
      </c>
      <c r="G16" s="144"/>
      <c r="H16" s="144" t="s">
        <v>36</v>
      </c>
      <c r="I16" s="144"/>
      <c r="J16" s="144"/>
      <c r="K16" s="144" t="s">
        <v>38</v>
      </c>
      <c r="L16" s="144"/>
      <c r="M16" s="144" t="s">
        <v>39</v>
      </c>
      <c r="N16" s="144"/>
      <c r="O16" s="144">
        <v>5</v>
      </c>
      <c r="P16" s="144"/>
      <c r="Q16" s="144" t="s">
        <v>44</v>
      </c>
      <c r="R16" s="144"/>
      <c r="S16" s="144" t="s">
        <v>45</v>
      </c>
      <c r="T16" s="144"/>
      <c r="U16" s="144">
        <v>7</v>
      </c>
      <c r="V16" s="160"/>
      <c r="X16" s="201" t="s">
        <v>175</v>
      </c>
      <c r="Y16" s="206"/>
      <c r="Z16" s="206"/>
      <c r="AA16" s="188" t="str">
        <f>'Monthly wages'!A19</f>
        <v>0000016</v>
      </c>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7"/>
    </row>
    <row r="17" spans="1:55" ht="12.75" customHeight="1">
      <c r="A17" s="138" t="s">
        <v>47</v>
      </c>
      <c r="B17" s="139"/>
      <c r="C17" s="140"/>
      <c r="D17" s="131">
        <f>VLOOKUP(F8,'Monthly wages'!$A$4:$D$25,4,0)</f>
        <v>3200</v>
      </c>
      <c r="E17" s="131"/>
      <c r="F17" s="131">
        <f>VLOOKUP(F8,'Monthly wages'!$A$4:$F$25,6,0)</f>
        <v>384</v>
      </c>
      <c r="G17" s="131"/>
      <c r="H17" s="157">
        <f>VLOOKUP(F8,'Monthly wages'!$A$4:$H$25,8,0)</f>
        <v>117</v>
      </c>
      <c r="I17" s="157"/>
      <c r="J17" s="157"/>
      <c r="K17" s="157">
        <f>VLOOKUP(F8,'Monthly wages'!$A$4:$I$25,9,0)</f>
        <v>267</v>
      </c>
      <c r="L17" s="157"/>
      <c r="M17" s="161">
        <f>H17+K17+F17</f>
        <v>768</v>
      </c>
      <c r="N17" s="162"/>
      <c r="O17" s="157"/>
      <c r="P17" s="157"/>
      <c r="Q17" s="157"/>
      <c r="R17" s="157"/>
      <c r="S17" s="157"/>
      <c r="T17" s="157"/>
      <c r="U17" s="158"/>
      <c r="V17" s="159"/>
      <c r="X17" s="201"/>
      <c r="Y17" s="202"/>
      <c r="Z17" s="202"/>
      <c r="AA17" s="188" t="str">
        <f>'Monthly wages'!A20</f>
        <v>0000017</v>
      </c>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8">
        <v>8809495966</v>
      </c>
      <c r="BA17" s="208"/>
      <c r="BB17" s="208"/>
      <c r="BC17" s="203"/>
    </row>
    <row r="18" spans="1:55" ht="12.75" customHeight="1" thickBot="1">
      <c r="A18" s="135" t="s">
        <v>48</v>
      </c>
      <c r="B18" s="136"/>
      <c r="C18" s="137"/>
      <c r="D18" s="130">
        <f>VLOOKUP(F8,'Monthly wages'!$A$4:$K$25,11,0)</f>
        <v>3171</v>
      </c>
      <c r="E18" s="130"/>
      <c r="F18" s="130">
        <f>VLOOKUP(F8,'Monthly wages'!$A$4:$M$25,13,0)</f>
        <v>381</v>
      </c>
      <c r="G18" s="130"/>
      <c r="H18" s="151">
        <f>VLOOKUP(F8,'Monthly wages'!$A$4:$O$25,15,0)</f>
        <v>117</v>
      </c>
      <c r="I18" s="151"/>
      <c r="J18" s="151"/>
      <c r="K18" s="151">
        <f>VLOOKUP(F8,'Monthly wages'!$A$4:$P$25,16,0)</f>
        <v>264</v>
      </c>
      <c r="L18" s="151"/>
      <c r="M18" s="155">
        <f t="shared" ref="M18:M28" si="0">H18+K18+F18</f>
        <v>762</v>
      </c>
      <c r="N18" s="156"/>
      <c r="O18" s="151"/>
      <c r="P18" s="151"/>
      <c r="Q18" s="151"/>
      <c r="R18" s="151"/>
      <c r="S18" s="151"/>
      <c r="T18" s="151"/>
      <c r="U18" s="153"/>
      <c r="V18" s="154"/>
      <c r="X18" s="209"/>
      <c r="Y18" s="212"/>
      <c r="Z18" s="212"/>
      <c r="AA18" s="188" t="str">
        <f>'Monthly wages'!A21</f>
        <v>0000018</v>
      </c>
      <c r="AZ18" s="212"/>
      <c r="BA18" s="213" t="s">
        <v>239</v>
      </c>
      <c r="BB18" s="212"/>
      <c r="BC18" s="214"/>
    </row>
    <row r="19" spans="1:55" ht="12.75" customHeight="1">
      <c r="A19" s="135" t="s">
        <v>49</v>
      </c>
      <c r="B19" s="136"/>
      <c r="C19" s="137"/>
      <c r="D19" s="130">
        <f>VLOOKUP(F8,'Monthly wages'!$A$4:$R$25,18,0)</f>
        <v>3171</v>
      </c>
      <c r="E19" s="130"/>
      <c r="F19" s="130">
        <f>VLOOKUP(F8,'Monthly wages'!$A$4:$T$25,20,0)</f>
        <v>381</v>
      </c>
      <c r="G19" s="130"/>
      <c r="H19" s="151">
        <f>VLOOKUP(F8,'Monthly wages'!$A$4:$V$25,22,0)</f>
        <v>117</v>
      </c>
      <c r="I19" s="151"/>
      <c r="J19" s="151"/>
      <c r="K19" s="151">
        <f>VLOOKUP(F8,'Monthly wages'!$A$4:$W$25,23,0)</f>
        <v>264</v>
      </c>
      <c r="L19" s="151"/>
      <c r="M19" s="155">
        <f t="shared" si="0"/>
        <v>762</v>
      </c>
      <c r="N19" s="156"/>
      <c r="O19" s="151"/>
      <c r="P19" s="151"/>
      <c r="Q19" s="151"/>
      <c r="R19" s="151"/>
      <c r="S19" s="151"/>
      <c r="T19" s="151"/>
      <c r="U19" s="153"/>
      <c r="V19" s="154"/>
      <c r="AA19" s="188" t="str">
        <f>'Monthly wages'!A22</f>
        <v>0000019</v>
      </c>
    </row>
    <row r="20" spans="1:55" ht="12.75" customHeight="1">
      <c r="A20" s="135" t="s">
        <v>50</v>
      </c>
      <c r="B20" s="136"/>
      <c r="C20" s="137"/>
      <c r="D20" s="130">
        <f>VLOOKUP(F8,'Monthly wages'!$A$4:$Y$25,25,0)</f>
        <v>3322</v>
      </c>
      <c r="E20" s="130"/>
      <c r="F20" s="130">
        <f>VLOOKUP(F8,'Monthly wages'!$A$4:$AA$25,27,0)</f>
        <v>399</v>
      </c>
      <c r="G20" s="130"/>
      <c r="H20" s="151">
        <f>VLOOKUP(F8,'Monthly wages'!$A$4:$AC$25,29,0)</f>
        <v>122</v>
      </c>
      <c r="I20" s="151"/>
      <c r="J20" s="151"/>
      <c r="K20" s="151">
        <f>VLOOKUP(F8,'Monthly wages'!$A$4:$AD$25,30,0)</f>
        <v>277</v>
      </c>
      <c r="L20" s="151"/>
      <c r="M20" s="155">
        <f t="shared" si="0"/>
        <v>798</v>
      </c>
      <c r="N20" s="156"/>
      <c r="O20" s="151"/>
      <c r="P20" s="151"/>
      <c r="Q20" s="151"/>
      <c r="R20" s="151"/>
      <c r="S20" s="151"/>
      <c r="T20" s="151"/>
      <c r="U20" s="153"/>
      <c r="V20" s="154"/>
      <c r="AA20" s="188" t="str">
        <f>'Monthly wages'!A23</f>
        <v>0000020</v>
      </c>
      <c r="AZ20" s="219" t="s">
        <v>240</v>
      </c>
    </row>
    <row r="21" spans="1:55" ht="12.75" customHeight="1">
      <c r="A21" s="135" t="s">
        <v>51</v>
      </c>
      <c r="B21" s="136"/>
      <c r="C21" s="137"/>
      <c r="D21" s="130">
        <f>VLOOKUP(F8,'Monthly wages'!$A$4:$AF$25,32,0)</f>
        <v>3473</v>
      </c>
      <c r="E21" s="130"/>
      <c r="F21" s="130">
        <f>VLOOKUP(F8,'Monthly wages'!$A$4:$AH$25,34,0)</f>
        <v>417</v>
      </c>
      <c r="G21" s="130"/>
      <c r="H21" s="151">
        <f>VLOOKUP(F8,'Monthly wages'!$A$4:$AJ$25,36,0)</f>
        <v>128</v>
      </c>
      <c r="I21" s="151"/>
      <c r="J21" s="151"/>
      <c r="K21" s="151">
        <f>VLOOKUP(F8,'Monthly wages'!$A$4:$AK$25,37,0)</f>
        <v>289</v>
      </c>
      <c r="L21" s="151"/>
      <c r="M21" s="155">
        <f t="shared" si="0"/>
        <v>834</v>
      </c>
      <c r="N21" s="156"/>
      <c r="O21" s="151"/>
      <c r="P21" s="151"/>
      <c r="Q21" s="151"/>
      <c r="R21" s="151"/>
      <c r="S21" s="151"/>
      <c r="T21" s="151"/>
      <c r="U21" s="153"/>
      <c r="V21" s="154"/>
      <c r="AA21" s="188" t="str">
        <f>'Monthly wages'!A24</f>
        <v>0000021</v>
      </c>
    </row>
    <row r="22" spans="1:55" ht="12.75" customHeight="1">
      <c r="A22" s="135" t="s">
        <v>52</v>
      </c>
      <c r="B22" s="136"/>
      <c r="C22" s="137"/>
      <c r="D22" s="130">
        <f>VLOOKUP(F8,'Monthly wages'!$A$4:$AM$25,39,0)</f>
        <v>3473</v>
      </c>
      <c r="E22" s="130"/>
      <c r="F22" s="130">
        <f>VLOOKUP(F8,'Monthly wages'!$A$4:$AO$25,41,0)</f>
        <v>417</v>
      </c>
      <c r="G22" s="130"/>
      <c r="H22" s="151">
        <f>VLOOKUP(F8,'Monthly wages'!$A$4:$AQ$25,43,0)</f>
        <v>128</v>
      </c>
      <c r="I22" s="151"/>
      <c r="J22" s="151"/>
      <c r="K22" s="151">
        <f>VLOOKUP(F8,'Monthly wages'!$A$4:$AR$25,44,0)</f>
        <v>289</v>
      </c>
      <c r="L22" s="151"/>
      <c r="M22" s="155">
        <f t="shared" si="0"/>
        <v>834</v>
      </c>
      <c r="N22" s="156"/>
      <c r="O22" s="151"/>
      <c r="P22" s="151"/>
      <c r="Q22" s="151"/>
      <c r="R22" s="151"/>
      <c r="S22" s="151"/>
      <c r="T22" s="151"/>
      <c r="U22" s="153"/>
      <c r="V22" s="154"/>
      <c r="AA22" s="188" t="str">
        <f>'Monthly wages'!A25</f>
        <v>0000022</v>
      </c>
    </row>
    <row r="23" spans="1:55" ht="12.75" customHeight="1">
      <c r="A23" s="135" t="s">
        <v>53</v>
      </c>
      <c r="B23" s="136"/>
      <c r="C23" s="137"/>
      <c r="D23" s="130">
        <f>VLOOKUP(F8,'Monthly wages'!$A$4:$AT$25,46,0)</f>
        <v>3473</v>
      </c>
      <c r="E23" s="130"/>
      <c r="F23" s="130">
        <f>VLOOKUP(F8,'Monthly wages'!$A$4:$AV$25,48,0)</f>
        <v>417</v>
      </c>
      <c r="G23" s="130"/>
      <c r="H23" s="151">
        <f>VLOOKUP(F8,'Monthly wages'!$A$4:$AX$25,50,0)</f>
        <v>128</v>
      </c>
      <c r="I23" s="151"/>
      <c r="J23" s="151"/>
      <c r="K23" s="151">
        <f>VLOOKUP(F8,'Monthly wages'!$A$4:$AY$25,51,0)</f>
        <v>289</v>
      </c>
      <c r="L23" s="151"/>
      <c r="M23" s="155">
        <f t="shared" si="0"/>
        <v>834</v>
      </c>
      <c r="N23" s="156"/>
      <c r="O23" s="151"/>
      <c r="P23" s="151"/>
      <c r="Q23" s="151"/>
      <c r="R23" s="151"/>
      <c r="S23" s="151"/>
      <c r="T23" s="151"/>
      <c r="U23" s="153"/>
      <c r="V23" s="154"/>
      <c r="AA23" s="188"/>
    </row>
    <row r="24" spans="1:55" ht="12.75" customHeight="1">
      <c r="A24" s="135" t="s">
        <v>54</v>
      </c>
      <c r="B24" s="136"/>
      <c r="C24" s="137"/>
      <c r="D24" s="130">
        <f>VLOOKUP(F8,'Monthly wages'!$A$4:$BA$25,53,0)</f>
        <v>3322</v>
      </c>
      <c r="E24" s="130"/>
      <c r="F24" s="130">
        <f>VLOOKUP(F8,'Monthly wages'!$A$4:$BC$25,55,0)</f>
        <v>399</v>
      </c>
      <c r="G24" s="130"/>
      <c r="H24" s="151">
        <f>VLOOKUP(F8,'Monthly wages'!$A$4:$BE$25,57,0)</f>
        <v>122</v>
      </c>
      <c r="I24" s="151"/>
      <c r="J24" s="151"/>
      <c r="K24" s="151">
        <f>VLOOKUP(F8,'Monthly wages'!$A$4:$BF$25,58,0)</f>
        <v>277</v>
      </c>
      <c r="L24" s="151"/>
      <c r="M24" s="155">
        <f t="shared" si="0"/>
        <v>798</v>
      </c>
      <c r="N24" s="156"/>
      <c r="O24" s="151"/>
      <c r="P24" s="151"/>
      <c r="Q24" s="151"/>
      <c r="R24" s="151"/>
      <c r="S24" s="151"/>
      <c r="T24" s="151"/>
      <c r="U24" s="153"/>
      <c r="V24" s="154"/>
    </row>
    <row r="25" spans="1:55">
      <c r="A25" s="135" t="s">
        <v>55</v>
      </c>
      <c r="B25" s="136"/>
      <c r="C25" s="137"/>
      <c r="D25" s="130">
        <f>VLOOKUP(F8,'Monthly wages'!$A$4:$BH$25,60,0)</f>
        <v>0</v>
      </c>
      <c r="E25" s="130"/>
      <c r="F25" s="130">
        <f>VLOOKUP(F8,'Monthly wages'!$A$4:$BJ$25,62,0)</f>
        <v>0</v>
      </c>
      <c r="G25" s="130"/>
      <c r="H25" s="151">
        <f>VLOOKUP(F8,'Monthly wages'!$A$4:$BL$25,64,0)</f>
        <v>0</v>
      </c>
      <c r="I25" s="151"/>
      <c r="J25" s="151"/>
      <c r="K25" s="151">
        <f>VLOOKUP(F8,'Monthly wages'!$A$4:$BM$25,65,0)</f>
        <v>0</v>
      </c>
      <c r="L25" s="151"/>
      <c r="M25" s="155">
        <f t="shared" si="0"/>
        <v>0</v>
      </c>
      <c r="N25" s="156"/>
      <c r="O25" s="151"/>
      <c r="P25" s="151"/>
      <c r="Q25" s="151"/>
      <c r="R25" s="151"/>
      <c r="S25" s="151"/>
      <c r="T25" s="151"/>
      <c r="U25" s="153"/>
      <c r="V25" s="154"/>
    </row>
    <row r="26" spans="1:55">
      <c r="A26" s="135" t="s">
        <v>56</v>
      </c>
      <c r="B26" s="136"/>
      <c r="C26" s="137"/>
      <c r="D26" s="130">
        <f>VLOOKUP(F8,'Monthly wages'!$A$4:$BO$25,67,0)</f>
        <v>0</v>
      </c>
      <c r="E26" s="130"/>
      <c r="F26" s="130">
        <f>VLOOKUP(F8,'Monthly wages'!$A$4:$BQ$25,69,0)</f>
        <v>0</v>
      </c>
      <c r="G26" s="130"/>
      <c r="H26" s="151">
        <f>VLOOKUP(F8,'Monthly wages'!$A$4:$BS$25,71,0)</f>
        <v>0</v>
      </c>
      <c r="I26" s="151"/>
      <c r="J26" s="151"/>
      <c r="K26" s="151">
        <f>VLOOKUP(F8,'Monthly wages'!$A$4:$BT$25,72,0)</f>
        <v>0</v>
      </c>
      <c r="L26" s="151"/>
      <c r="M26" s="155">
        <f t="shared" si="0"/>
        <v>0</v>
      </c>
      <c r="N26" s="156"/>
      <c r="O26" s="151"/>
      <c r="P26" s="151"/>
      <c r="Q26" s="151"/>
      <c r="R26" s="151"/>
      <c r="S26" s="151"/>
      <c r="T26" s="151"/>
      <c r="U26" s="153"/>
      <c r="V26" s="154"/>
    </row>
    <row r="27" spans="1:55">
      <c r="A27" s="135" t="s">
        <v>57</v>
      </c>
      <c r="B27" s="136"/>
      <c r="C27" s="137"/>
      <c r="D27" s="130">
        <f>VLOOKUP(F8,'Monthly wages'!$A$4:$BV$25,74,0)</f>
        <v>0</v>
      </c>
      <c r="E27" s="130"/>
      <c r="F27" s="130">
        <f>VLOOKUP(F8,'Monthly wages'!$A$4:$BX$25,76,0)</f>
        <v>0</v>
      </c>
      <c r="G27" s="130"/>
      <c r="H27" s="151">
        <f>VLOOKUP(F8,'Monthly wages'!$A$4:$BZ$25,78,0)</f>
        <v>0</v>
      </c>
      <c r="I27" s="151"/>
      <c r="J27" s="151"/>
      <c r="K27" s="151">
        <f>VLOOKUP(F8,'Monthly wages'!$A$4:$CA$25,79,0)</f>
        <v>0</v>
      </c>
      <c r="L27" s="151"/>
      <c r="M27" s="155">
        <f t="shared" si="0"/>
        <v>0</v>
      </c>
      <c r="N27" s="156"/>
      <c r="O27" s="151"/>
      <c r="P27" s="151"/>
      <c r="Q27" s="151"/>
      <c r="R27" s="151"/>
      <c r="S27" s="151"/>
      <c r="T27" s="151"/>
      <c r="U27" s="153"/>
      <c r="V27" s="154"/>
    </row>
    <row r="28" spans="1:55">
      <c r="A28" s="135" t="s">
        <v>58</v>
      </c>
      <c r="B28" s="136"/>
      <c r="C28" s="137"/>
      <c r="D28" s="130">
        <f>VLOOKUP(F8,'Monthly wages'!$A$4:$CC$25,81,0)</f>
        <v>0</v>
      </c>
      <c r="E28" s="130"/>
      <c r="F28" s="130">
        <f>VLOOKUP(F8,'Monthly wages'!$A$4:$CE$25,83,0)</f>
        <v>0</v>
      </c>
      <c r="G28" s="130"/>
      <c r="H28" s="151">
        <f>VLOOKUP(F8,'Monthly wages'!$A$4:$CG$25,85,0)</f>
        <v>0</v>
      </c>
      <c r="I28" s="151"/>
      <c r="J28" s="151"/>
      <c r="K28" s="151">
        <f>VLOOKUP(F8,'Monthly wages'!$A$4:$CH$25,86,0)</f>
        <v>0</v>
      </c>
      <c r="L28" s="151"/>
      <c r="M28" s="155">
        <f t="shared" si="0"/>
        <v>0</v>
      </c>
      <c r="N28" s="156"/>
      <c r="O28" s="151"/>
      <c r="P28" s="151"/>
      <c r="Q28" s="151"/>
      <c r="R28" s="151"/>
      <c r="S28" s="151"/>
      <c r="T28" s="151"/>
      <c r="U28" s="153"/>
      <c r="V28" s="154"/>
    </row>
    <row r="29" spans="1:55" ht="13.5" thickBot="1">
      <c r="A29" s="135" t="s">
        <v>59</v>
      </c>
      <c r="B29" s="136"/>
      <c r="C29" s="137"/>
      <c r="D29" s="130"/>
      <c r="E29" s="130"/>
      <c r="F29" s="130"/>
      <c r="G29" s="130"/>
      <c r="H29" s="151"/>
      <c r="I29" s="151"/>
      <c r="J29" s="151"/>
      <c r="K29" s="151"/>
      <c r="L29" s="151"/>
      <c r="M29" s="151"/>
      <c r="N29" s="151"/>
      <c r="O29" s="151"/>
      <c r="P29" s="151"/>
      <c r="Q29" s="151"/>
      <c r="R29" s="151"/>
      <c r="S29" s="151"/>
      <c r="T29" s="151"/>
      <c r="U29" s="153"/>
      <c r="V29" s="154"/>
      <c r="Y29" s="210" t="str">
        <f>"("&amp;" "&amp;"Rupees "&amp;PROPER(IF(Z34=7,AI35,IF(Z34=6,AI36,IF(Z34=5,AI37,IF(Z34=4,AI38,IF(Z34=3,AI39,IF(Z34=2,AI40,IF(Z34=1,AI41,Y31))))))))&amp;")"&amp;" "</f>
        <v xml:space="preserve">( Rupees Six Thousand Three Hundred Ninety   Only) </v>
      </c>
      <c r="Z29" s="211"/>
      <c r="AA29" s="211"/>
      <c r="AB29" s="211"/>
      <c r="AC29" s="211"/>
      <c r="AD29" s="211"/>
      <c r="AE29" s="211"/>
      <c r="AF29" s="211"/>
      <c r="AG29" s="211"/>
      <c r="AH29" s="211"/>
      <c r="AI29" s="211"/>
      <c r="AJ29" s="211"/>
      <c r="AK29" s="211"/>
      <c r="AL29" s="211"/>
      <c r="AM29" s="211"/>
      <c r="AN29" s="211"/>
      <c r="AO29" s="211"/>
      <c r="AP29" s="211"/>
      <c r="AQ29" s="211"/>
      <c r="AR29" s="211"/>
      <c r="AS29" s="211"/>
      <c r="AT29" s="212"/>
      <c r="AU29" s="212"/>
      <c r="AV29" s="212"/>
      <c r="AW29" s="212"/>
      <c r="AX29" s="212"/>
      <c r="AY29" s="212"/>
    </row>
    <row r="30" spans="1:55">
      <c r="A30" s="125" t="s">
        <v>18</v>
      </c>
      <c r="B30" s="126"/>
      <c r="C30" s="127"/>
      <c r="D30" s="128">
        <f>SUM(D17:E29)</f>
        <v>26605</v>
      </c>
      <c r="E30" s="129"/>
      <c r="F30" s="128">
        <f>SUM(F17:G29)</f>
        <v>3195</v>
      </c>
      <c r="G30" s="129"/>
      <c r="H30" s="151">
        <f>SUM(H17:J29)</f>
        <v>979</v>
      </c>
      <c r="I30" s="151"/>
      <c r="J30" s="151"/>
      <c r="K30" s="128">
        <f>SUM(K17:L29)</f>
        <v>2216</v>
      </c>
      <c r="L30" s="129"/>
      <c r="M30" s="128">
        <f>SUM(M17:N29)</f>
        <v>6390</v>
      </c>
      <c r="N30" s="129"/>
      <c r="O30" s="128">
        <f>SUM(O17:P29)</f>
        <v>0</v>
      </c>
      <c r="P30" s="129"/>
      <c r="Q30" s="145"/>
      <c r="R30" s="129"/>
      <c r="S30" s="145"/>
      <c r="T30" s="129"/>
      <c r="U30" s="145"/>
      <c r="V30" s="152"/>
      <c r="Y30" s="23"/>
      <c r="Z30" s="23"/>
      <c r="AA30" s="23"/>
      <c r="AB30" s="23"/>
      <c r="AC30" s="23"/>
      <c r="AD30" s="23"/>
      <c r="AE30" s="23"/>
      <c r="AF30" s="23"/>
      <c r="AG30" s="23"/>
      <c r="AH30" s="23"/>
      <c r="AI30" s="23"/>
      <c r="AJ30" s="23"/>
      <c r="AK30" s="23"/>
      <c r="AL30" s="23"/>
      <c r="AM30" s="23"/>
      <c r="AN30" s="23"/>
      <c r="AO30" s="23"/>
      <c r="AP30" s="23"/>
      <c r="AQ30" s="23"/>
      <c r="AR30" s="23"/>
      <c r="AS30" s="23"/>
    </row>
    <row r="31" spans="1:55">
      <c r="A31" s="62"/>
      <c r="B31" s="63"/>
      <c r="C31" s="63"/>
      <c r="D31" s="64"/>
      <c r="E31" s="49"/>
      <c r="F31" s="64"/>
      <c r="G31" s="49"/>
      <c r="H31" s="65"/>
      <c r="I31" s="65"/>
      <c r="J31" s="65"/>
      <c r="K31" s="64"/>
      <c r="L31" s="49"/>
      <c r="M31" s="64"/>
      <c r="N31" s="49"/>
      <c r="O31" s="64"/>
      <c r="P31" s="49"/>
      <c r="Q31" s="49"/>
      <c r="R31" s="49"/>
      <c r="S31" s="49"/>
      <c r="T31" s="49"/>
      <c r="U31" s="49"/>
      <c r="V31" s="50"/>
      <c r="Y31" s="23" t="s">
        <v>198</v>
      </c>
      <c r="Z31" s="23" t="s">
        <v>199</v>
      </c>
      <c r="AA31" s="23"/>
      <c r="AB31" s="23" t="s">
        <v>200</v>
      </c>
      <c r="AC31" s="23" t="s">
        <v>201</v>
      </c>
      <c r="AD31" s="23" t="s">
        <v>202</v>
      </c>
      <c r="AE31" s="23" t="s">
        <v>203</v>
      </c>
      <c r="AF31" s="23" t="s">
        <v>204</v>
      </c>
      <c r="AG31" s="23" t="s">
        <v>205</v>
      </c>
      <c r="AH31" s="23" t="s">
        <v>206</v>
      </c>
      <c r="AI31" s="23" t="s">
        <v>207</v>
      </c>
      <c r="AJ31" s="23" t="s">
        <v>208</v>
      </c>
      <c r="AK31" s="23" t="s">
        <v>209</v>
      </c>
      <c r="AL31" s="23" t="s">
        <v>210</v>
      </c>
      <c r="AM31" s="23" t="s">
        <v>211</v>
      </c>
      <c r="AN31" s="23" t="s">
        <v>212</v>
      </c>
      <c r="AO31" s="23" t="s">
        <v>213</v>
      </c>
      <c r="AP31" s="23" t="s">
        <v>214</v>
      </c>
      <c r="AQ31" s="23" t="s">
        <v>215</v>
      </c>
      <c r="AR31" s="23" t="s">
        <v>216</v>
      </c>
      <c r="AS31" s="23"/>
    </row>
    <row r="32" spans="1:55">
      <c r="A32" s="66" t="s">
        <v>61</v>
      </c>
      <c r="B32" s="63"/>
      <c r="C32" s="63"/>
      <c r="D32" s="64"/>
      <c r="E32" s="49"/>
      <c r="F32" s="64"/>
      <c r="G32" s="49"/>
      <c r="H32" s="65"/>
      <c r="I32" s="65"/>
      <c r="J32" s="65"/>
      <c r="K32" s="64"/>
      <c r="L32" s="49"/>
      <c r="M32" s="64"/>
      <c r="N32" s="49"/>
      <c r="O32" s="64"/>
      <c r="P32" s="49"/>
      <c r="Q32" s="49"/>
      <c r="R32" s="49"/>
      <c r="S32" s="49"/>
      <c r="T32" s="49"/>
      <c r="U32" s="49"/>
      <c r="V32" s="50"/>
      <c r="Y32" s="23" t="s">
        <v>217</v>
      </c>
      <c r="Z32" s="23" t="s">
        <v>218</v>
      </c>
      <c r="AA32" s="23" t="s">
        <v>219</v>
      </c>
      <c r="AB32" s="23" t="s">
        <v>220</v>
      </c>
      <c r="AC32" s="23" t="s">
        <v>221</v>
      </c>
      <c r="AD32" s="23" t="s">
        <v>222</v>
      </c>
      <c r="AE32" s="23" t="s">
        <v>223</v>
      </c>
      <c r="AF32" s="23" t="s">
        <v>224</v>
      </c>
      <c r="AG32" s="23" t="s">
        <v>225</v>
      </c>
      <c r="AH32" s="23" t="s">
        <v>226</v>
      </c>
      <c r="AI32" s="23"/>
      <c r="AJ32" s="23"/>
      <c r="AK32" s="23"/>
      <c r="AL32" s="23"/>
      <c r="AM32" s="23"/>
      <c r="AN32" s="23"/>
      <c r="AO32" s="23"/>
      <c r="AP32" s="23"/>
      <c r="AQ32" s="23"/>
      <c r="AR32" s="23"/>
      <c r="AS32" s="23"/>
    </row>
    <row r="33" spans="1:45">
      <c r="A33" s="66" t="s">
        <v>62</v>
      </c>
      <c r="B33" s="63"/>
      <c r="C33" s="63"/>
      <c r="D33" s="64"/>
      <c r="E33" s="49"/>
      <c r="F33" s="64"/>
      <c r="G33" s="49"/>
      <c r="H33" s="65"/>
      <c r="I33" s="65"/>
      <c r="J33" s="65"/>
      <c r="K33" s="64"/>
      <c r="L33" s="49"/>
      <c r="M33" s="64"/>
      <c r="N33" s="49"/>
      <c r="O33" s="64"/>
      <c r="P33" s="49"/>
      <c r="Q33" s="49"/>
      <c r="R33" s="49"/>
      <c r="S33" s="49"/>
      <c r="T33" s="49"/>
      <c r="U33" s="49"/>
      <c r="V33" s="50"/>
      <c r="Y33" s="23" t="s">
        <v>227</v>
      </c>
      <c r="Z33" s="23" t="s">
        <v>228</v>
      </c>
      <c r="AA33" s="23" t="s">
        <v>229</v>
      </c>
      <c r="AB33" s="23"/>
      <c r="AC33" s="23"/>
      <c r="AD33" s="23"/>
      <c r="AE33" s="23"/>
      <c r="AF33" s="23"/>
      <c r="AG33" s="23"/>
      <c r="AH33" s="23"/>
      <c r="AI33" s="23"/>
      <c r="AJ33" s="23"/>
      <c r="AK33" s="23"/>
      <c r="AL33" s="23"/>
      <c r="AM33" s="23"/>
      <c r="AN33" s="23"/>
      <c r="AO33" s="23"/>
      <c r="AP33" s="23"/>
      <c r="AQ33" s="23"/>
      <c r="AR33" s="23"/>
      <c r="AS33" s="23"/>
    </row>
    <row r="34" spans="1:45">
      <c r="A34" s="62" t="s">
        <v>63</v>
      </c>
      <c r="B34" s="63"/>
      <c r="C34" s="67" t="s">
        <v>64</v>
      </c>
      <c r="D34" s="68" t="s">
        <v>65</v>
      </c>
      <c r="E34" s="49"/>
      <c r="F34" s="64"/>
      <c r="G34" s="195"/>
      <c r="H34" s="195"/>
      <c r="I34" s="195"/>
      <c r="J34" s="69" t="s">
        <v>66</v>
      </c>
      <c r="K34" s="68" t="s">
        <v>67</v>
      </c>
      <c r="L34" s="49"/>
      <c r="M34" s="64"/>
      <c r="N34" s="191"/>
      <c r="O34" s="192"/>
      <c r="P34" s="191"/>
      <c r="Q34" s="191"/>
      <c r="R34" s="191"/>
      <c r="S34" s="191"/>
      <c r="T34" s="193"/>
      <c r="U34" s="193"/>
      <c r="V34" s="194"/>
      <c r="Y34" s="90">
        <f>M30</f>
        <v>6390</v>
      </c>
      <c r="Z34" s="23">
        <f>LEN(Y34)</f>
        <v>4</v>
      </c>
      <c r="AA34" s="23"/>
      <c r="AB34" s="23"/>
      <c r="AC34" s="23"/>
      <c r="AD34" s="23"/>
      <c r="AE34" s="23"/>
      <c r="AF34" s="23"/>
      <c r="AG34" s="23"/>
      <c r="AH34" s="23"/>
      <c r="AI34" s="23"/>
      <c r="AJ34" s="23"/>
      <c r="AK34" s="23"/>
      <c r="AL34" s="23"/>
      <c r="AM34" s="23"/>
      <c r="AN34" s="23"/>
      <c r="AO34" s="23"/>
      <c r="AP34" s="23"/>
      <c r="AQ34" s="23"/>
      <c r="AR34" s="23"/>
      <c r="AS34" s="23"/>
    </row>
    <row r="35" spans="1:45" ht="9" customHeight="1">
      <c r="A35" s="62"/>
      <c r="B35" s="63"/>
      <c r="C35" s="67"/>
      <c r="D35" s="68"/>
      <c r="E35" s="49"/>
      <c r="F35" s="64"/>
      <c r="G35" s="65"/>
      <c r="H35" s="65"/>
      <c r="I35" s="65"/>
      <c r="J35" s="69"/>
      <c r="K35" s="68"/>
      <c r="L35" s="49"/>
      <c r="M35" s="49"/>
      <c r="N35" s="49"/>
      <c r="O35" s="49"/>
      <c r="P35" s="49"/>
      <c r="Q35" s="49"/>
      <c r="R35" s="49"/>
      <c r="S35" s="49"/>
      <c r="T35" s="49"/>
      <c r="U35" s="49"/>
      <c r="V35" s="50"/>
      <c r="Y35" s="23"/>
      <c r="Z35" s="23" t="s">
        <v>230</v>
      </c>
      <c r="AA35" s="23" t="s">
        <v>231</v>
      </c>
      <c r="AB35" s="23" t="s">
        <v>232</v>
      </c>
      <c r="AC35" s="23" t="s">
        <v>233</v>
      </c>
      <c r="AD35" s="23"/>
      <c r="AE35" s="23">
        <f>+AD36</f>
        <v>6</v>
      </c>
      <c r="AF35" s="23" t="str">
        <f>IF(AE36=0,AG35,AH35)</f>
        <v>SIXTEEN</v>
      </c>
      <c r="AG35" s="23">
        <f>IF(AE35=1,AH31,IF(AE35=2,AR31,IF(AE35=3,Y33,IF(AE35=4,Z33,IF(AE35=5,AA33,0)))))</f>
        <v>0</v>
      </c>
      <c r="AH35" s="23" t="str">
        <f>IF(AE36=1,AI31,IF(AE36=2,AJ31,IF(AE36=3,AK31,IF(AE36=4,AL31,IF(AE36=5,AM31,IF(AE36=6,AN31,IF(AE36=7,AO31,IF(AE36=8,AP31,AQ35))))))))</f>
        <v>SIXTEEN</v>
      </c>
      <c r="AI35" s="23" t="str">
        <f>+AM35&amp;" "&amp;AI37</f>
        <v>0 SIX LAKH SIXTY SIX THOUSAND THREE HUNDRED NINETY   ONLY</v>
      </c>
      <c r="AJ35" s="23"/>
      <c r="AK35" s="23"/>
      <c r="AL35" s="23"/>
      <c r="AM35" s="23" t="str">
        <f>IF(AE35&gt;1,IF(AE36&gt;0,AG35&amp;" "&amp;AF36&amp;" "&amp;AH32,0),AF35&amp;" "&amp;AH32)</f>
        <v>0 SIX LAKH</v>
      </c>
      <c r="AN35" s="23"/>
      <c r="AO35" s="23"/>
      <c r="AP35" s="23"/>
      <c r="AQ35" s="23">
        <f>IF(AE36=9,AQ31,0)</f>
        <v>0</v>
      </c>
      <c r="AR35" s="23" t="str">
        <f>IF(AE39=0,AK39,AF39&amp;" "&amp;AF32&amp;" "&amp;AR36)</f>
        <v xml:space="preserve">THREE HUNDRED NINETY  </v>
      </c>
      <c r="AS35" s="23"/>
    </row>
    <row r="36" spans="1:45">
      <c r="A36" s="66" t="s">
        <v>68</v>
      </c>
      <c r="B36" s="63"/>
      <c r="C36" s="63"/>
      <c r="D36" s="64"/>
      <c r="E36" s="49"/>
      <c r="F36" s="64"/>
      <c r="G36" s="49"/>
      <c r="H36" s="65"/>
      <c r="I36" s="65"/>
      <c r="J36" s="65"/>
      <c r="K36" s="64"/>
      <c r="L36" s="49"/>
      <c r="M36" s="70" t="str">
        <f>Y29</f>
        <v xml:space="preserve">( Rupees Six Thousand Three Hundred Ninety   Only) </v>
      </c>
      <c r="N36" s="55"/>
      <c r="O36" s="70"/>
      <c r="P36" s="55"/>
      <c r="Q36" s="55"/>
      <c r="R36" s="55"/>
      <c r="S36" s="55"/>
      <c r="T36" s="55"/>
      <c r="U36" s="71"/>
      <c r="V36" s="50"/>
      <c r="Y36" s="23">
        <f>+Y38</f>
        <v>6390</v>
      </c>
      <c r="Z36" s="23" t="str">
        <f>RIGHT(Y38,6)</f>
        <v>6390</v>
      </c>
      <c r="AA36" s="23" t="str">
        <f t="shared" ref="AA36:AA41" si="1">LEFT(Z36,1)</f>
        <v>6</v>
      </c>
      <c r="AB36" s="23">
        <f t="shared" ref="AB36:AB41" si="2">VALUE(AA36)</f>
        <v>6</v>
      </c>
      <c r="AC36" s="23" t="str">
        <f>LEFT(Y39,1)</f>
        <v>6</v>
      </c>
      <c r="AD36" s="23">
        <f>VALUE(AC36)</f>
        <v>6</v>
      </c>
      <c r="AE36" s="23">
        <f t="shared" ref="AE36:AE41" si="3">+AB36</f>
        <v>6</v>
      </c>
      <c r="AF36" s="23" t="str">
        <f>IF(AE36=9,AG31,IF(AE36=8,AF31,IF(AE36=7,AE31,IF(AE36=6,AD31,IF(AE36=5,AC31,IF(AE36=4,AB31,AG36))))))</f>
        <v>SIX</v>
      </c>
      <c r="AG36" s="23" t="str">
        <f>IF(AE36=3,AA32,IF(AE36=2,Z32,IF(AE36=1,Y32,Y31)))</f>
        <v>NIL</v>
      </c>
      <c r="AH36" s="23"/>
      <c r="AI36" s="23" t="str">
        <f>IF(AK36=0,AQ36&amp;" "&amp;AK38&amp;" "&amp;Z31,AQ36&amp;" "&amp;AK36&amp;" "&amp;AG32&amp;" "&amp;AK38&amp;" "&amp;Z31)</f>
        <v>SIX LAKH SIXTY SIX THOUSAND THREE HUNDRED NINETY   ONLY</v>
      </c>
      <c r="AJ36" s="23"/>
      <c r="AK36" s="23" t="str">
        <f>IF(AE37=1,AQ37,IF(AE37=0,AF38,IF(AE37&gt;1,AQ37,AK38)))</f>
        <v>SIXTY SIX</v>
      </c>
      <c r="AL36" s="23"/>
      <c r="AM36" s="23"/>
      <c r="AN36" s="23"/>
      <c r="AO36" s="23"/>
      <c r="AP36" s="23"/>
      <c r="AQ36" s="23" t="str">
        <f>IF(AE36=0,AQ37,+AF36 &amp;" "&amp;AH32)</f>
        <v>SIX LAKH</v>
      </c>
      <c r="AR36" s="23" t="str">
        <f>IF(AE40=0,AR37&amp;" ",IF(AE40=1,AL40,AF40&amp;" "&amp;AR37))</f>
        <v xml:space="preserve">NINETY  </v>
      </c>
      <c r="AS36" s="23"/>
    </row>
    <row r="37" spans="1:45">
      <c r="A37" s="66" t="s">
        <v>69</v>
      </c>
      <c r="B37" s="67"/>
      <c r="C37" s="67"/>
      <c r="D37" s="68"/>
      <c r="E37" s="71"/>
      <c r="F37" s="64"/>
      <c r="G37" s="49"/>
      <c r="H37" s="65"/>
      <c r="I37" s="65"/>
      <c r="J37" s="65"/>
      <c r="K37" s="64"/>
      <c r="L37" s="49"/>
      <c r="M37" s="64"/>
      <c r="N37" s="49"/>
      <c r="O37" s="64"/>
      <c r="P37" s="49"/>
      <c r="Q37" s="49"/>
      <c r="R37" s="49"/>
      <c r="S37" s="49"/>
      <c r="T37" s="49"/>
      <c r="U37" s="71"/>
      <c r="V37" s="50"/>
      <c r="Y37" s="23">
        <f>+Y34</f>
        <v>6390</v>
      </c>
      <c r="Z37" s="23" t="str">
        <f>RIGHT(Y38,5)</f>
        <v>6390</v>
      </c>
      <c r="AA37" s="23" t="str">
        <f t="shared" si="1"/>
        <v>6</v>
      </c>
      <c r="AB37" s="23">
        <f t="shared" si="2"/>
        <v>6</v>
      </c>
      <c r="AC37" s="23" t="str">
        <f>LEFT(Y40,1)</f>
        <v>6</v>
      </c>
      <c r="AD37" s="23">
        <f>VALUE(AC37)</f>
        <v>6</v>
      </c>
      <c r="AE37" s="23">
        <f t="shared" si="3"/>
        <v>6</v>
      </c>
      <c r="AF37" s="23" t="str">
        <f>IF(AE37=9,AE32,IF(AE37=8,AD32,IF(AE37=7,AC32,IF(AE37=6,AB32,IF(AE37=5,AA33,IF(AE37=4,Z33,AG37))))))</f>
        <v>SIXTY</v>
      </c>
      <c r="AG37" s="23">
        <f>IF(AE37=3,Y33,IF(AE37=2,AR31,AH37))</f>
        <v>0</v>
      </c>
      <c r="AH37" s="23"/>
      <c r="AI37" s="23" t="str">
        <f>IF(AK36=0,AK38&amp;" "&amp;Z31,AK36&amp;" "&amp;AG32&amp;" "&amp;AK38&amp;" "&amp;Z31)</f>
        <v>SIXTY SIX THOUSAND THREE HUNDRED NINETY   ONLY</v>
      </c>
      <c r="AJ37" s="23"/>
      <c r="AK37" s="23" t="str">
        <f>+AL37</f>
        <v>TEN</v>
      </c>
      <c r="AL37" s="23" t="str">
        <f>IF(AE37=1,AM37,AN37)</f>
        <v>TEN</v>
      </c>
      <c r="AM37" s="23" t="str">
        <f>IF(AE38=9,AQ31,IF(AE38=8,AP31,IF(AE38=7,AO31,IF(AE38=6,AN31,IF(AE38=5,AM31,AN37)))))</f>
        <v>SIXTEEN</v>
      </c>
      <c r="AN37" s="23" t="str">
        <f>IF(AE38=4,AL31,IF(AE38=3,AK31,IF(AE38=2,AJ31,IF(AE38=1,AI31,AO37))))</f>
        <v>TEN</v>
      </c>
      <c r="AO37" s="23" t="str">
        <f>+AH31</f>
        <v>TEN</v>
      </c>
      <c r="AP37" s="23" t="str">
        <f>IF(AE38=0,AF37,+AF37&amp;" "&amp;AF38)</f>
        <v>SIXTY SIX</v>
      </c>
      <c r="AQ37" s="23" t="str">
        <f>IF(AE37=1,AK37,IF(AE37=0,AF38,IF(AE37&gt;1,AP37,+AK38)))</f>
        <v>SIXTY SIX</v>
      </c>
      <c r="AR37" s="23" t="str">
        <f>IF(AE41&lt;1," ",AG41)</f>
        <v xml:space="preserve"> </v>
      </c>
      <c r="AS37" s="23"/>
    </row>
    <row r="38" spans="1:45" ht="9" customHeight="1">
      <c r="A38" s="62"/>
      <c r="B38" s="63"/>
      <c r="C38" s="67"/>
      <c r="D38" s="68"/>
      <c r="E38" s="49"/>
      <c r="F38" s="64"/>
      <c r="G38" s="65"/>
      <c r="H38" s="65"/>
      <c r="I38" s="65"/>
      <c r="J38" s="69"/>
      <c r="K38" s="68"/>
      <c r="L38" s="49"/>
      <c r="M38" s="49"/>
      <c r="N38" s="49"/>
      <c r="O38" s="49"/>
      <c r="P38" s="49"/>
      <c r="Q38" s="49"/>
      <c r="R38" s="49"/>
      <c r="S38" s="49"/>
      <c r="T38" s="49"/>
      <c r="U38" s="49"/>
      <c r="V38" s="50"/>
      <c r="Y38" s="23">
        <f>VALUE(Y37)</f>
        <v>6390</v>
      </c>
      <c r="Z38" s="23" t="str">
        <f>RIGHT(Y38,4)</f>
        <v>6390</v>
      </c>
      <c r="AA38" s="23" t="str">
        <f t="shared" si="1"/>
        <v>6</v>
      </c>
      <c r="AB38" s="23">
        <f t="shared" si="2"/>
        <v>6</v>
      </c>
      <c r="AC38" s="23">
        <f>+AD37</f>
        <v>6</v>
      </c>
      <c r="AD38" s="23"/>
      <c r="AE38" s="23">
        <f t="shared" si="3"/>
        <v>6</v>
      </c>
      <c r="AF38" s="23" t="str">
        <f>IF(AE38=9,AG31,IF(AE38=8,AF31,IF(AE38=7,AE31,IF(AE38=6,AD31,IF(AE38=5,AC31,IF(AE38=4,AB31,AG38))))))</f>
        <v>SIX</v>
      </c>
      <c r="AG38" s="23">
        <f>IF(AE38=3,AA32,IF(AE38=2,Z32,IF(AE38=1,Y32,)))</f>
        <v>0</v>
      </c>
      <c r="AH38" s="23"/>
      <c r="AI38" s="23" t="str">
        <f>IF(AE38&gt;0,AF38&amp;" "&amp;AG32&amp;" "&amp;AK38&amp;" "&amp;Z31,AK38&amp;" "&amp;Z31)</f>
        <v>SIX THOUSAND THREE HUNDRED NINETY   ONLY</v>
      </c>
      <c r="AJ38" s="23"/>
      <c r="AK38" s="23" t="str">
        <f>+AR35</f>
        <v xml:space="preserve">THREE HUNDRED NINETY  </v>
      </c>
      <c r="AL38" s="23"/>
      <c r="AM38" s="23"/>
      <c r="AN38" s="23"/>
      <c r="AO38" s="23"/>
      <c r="AP38" s="23"/>
      <c r="AQ38" s="23"/>
      <c r="AR38" s="23"/>
      <c r="AS38" s="23"/>
    </row>
    <row r="39" spans="1:45">
      <c r="A39" s="66" t="s">
        <v>70</v>
      </c>
      <c r="B39" s="67"/>
      <c r="C39" s="67"/>
      <c r="D39" s="68"/>
      <c r="E39" s="71"/>
      <c r="F39" s="64"/>
      <c r="G39" s="49"/>
      <c r="H39" s="65"/>
      <c r="I39" s="65"/>
      <c r="J39" s="65"/>
      <c r="K39" s="64"/>
      <c r="L39" s="49"/>
      <c r="M39" s="64"/>
      <c r="N39" s="49"/>
      <c r="O39" s="64"/>
      <c r="P39" s="49"/>
      <c r="Q39" s="49"/>
      <c r="R39" s="49"/>
      <c r="S39" s="49"/>
      <c r="T39" s="49"/>
      <c r="U39" s="71"/>
      <c r="V39" s="50"/>
      <c r="Y39" s="23" t="str">
        <f>RIGHT(Y38,7)</f>
        <v>6390</v>
      </c>
      <c r="Z39" s="23" t="str">
        <f>RIGHT(Y38,3)</f>
        <v>390</v>
      </c>
      <c r="AA39" s="23" t="str">
        <f t="shared" si="1"/>
        <v>3</v>
      </c>
      <c r="AB39" s="23">
        <f t="shared" si="2"/>
        <v>3</v>
      </c>
      <c r="AC39" s="23" t="str">
        <f>IF(AC38=9,AG31,IF(AC38=8,AF31,IF(AC38=7,AE31,IF(AC38=6,AD31,IF(AC38=5,AC31,IF(AC38=4,AB31,AD39))))))</f>
        <v>SIX</v>
      </c>
      <c r="AD39" s="23">
        <f>IF(AC38=3,AA32,IF(AC38=2,Z32,IF(AC38=1,Y32,)))</f>
        <v>0</v>
      </c>
      <c r="AE39" s="23">
        <f t="shared" si="3"/>
        <v>3</v>
      </c>
      <c r="AF39" s="23" t="str">
        <f>IF(AE39=9,AG31,IF(AE39=8,AF31,IF(AE39=7,AE31,IF(AE39=6,AD31,IF(AE39=5,AC31,IF(AE39=4,AB31,AG39))))))</f>
        <v>THREE</v>
      </c>
      <c r="AG39" s="23" t="str">
        <f>IF(AE39=3,AA32,IF(AE39=2,Z32,IF(AE39=1,Y32,Y31)))</f>
        <v>THREE</v>
      </c>
      <c r="AH39" s="23"/>
      <c r="AI39" s="23" t="str">
        <f>IF(AE39&gt;0,AR35&amp;" "&amp;Z31,Z31)</f>
        <v>THREE HUNDRED NINETY   ONLY</v>
      </c>
      <c r="AJ39" s="23"/>
      <c r="AK39" s="23" t="str">
        <f>+AR36</f>
        <v xml:space="preserve">NINETY  </v>
      </c>
      <c r="AL39" s="23"/>
      <c r="AM39" s="23"/>
      <c r="AN39" s="23"/>
      <c r="AO39" s="23"/>
      <c r="AP39" s="23"/>
      <c r="AQ39" s="23"/>
      <c r="AR39" s="23"/>
      <c r="AS39" s="23"/>
    </row>
    <row r="40" spans="1:45">
      <c r="A40" s="66" t="s">
        <v>71</v>
      </c>
      <c r="B40" s="67"/>
      <c r="C40" s="67"/>
      <c r="D40" s="68"/>
      <c r="E40" s="71"/>
      <c r="F40" s="64"/>
      <c r="G40" s="49"/>
      <c r="H40" s="65"/>
      <c r="I40" s="65"/>
      <c r="J40" s="65"/>
      <c r="K40" s="64"/>
      <c r="L40" s="49"/>
      <c r="M40" s="64"/>
      <c r="N40" s="49"/>
      <c r="O40" s="64"/>
      <c r="P40" s="49"/>
      <c r="Q40" s="49"/>
      <c r="R40" s="49"/>
      <c r="S40" s="49"/>
      <c r="T40" s="49"/>
      <c r="U40" s="71"/>
      <c r="V40" s="50"/>
      <c r="Y40" s="23">
        <f>+Y34</f>
        <v>6390</v>
      </c>
      <c r="Z40" s="23" t="str">
        <f>RIGHT(Y38,2)</f>
        <v>90</v>
      </c>
      <c r="AA40" s="23" t="str">
        <f t="shared" si="1"/>
        <v>9</v>
      </c>
      <c r="AB40" s="23">
        <f t="shared" si="2"/>
        <v>9</v>
      </c>
      <c r="AC40" s="23"/>
      <c r="AD40" s="23"/>
      <c r="AE40" s="23">
        <f t="shared" si="3"/>
        <v>9</v>
      </c>
      <c r="AF40" s="23" t="str">
        <f>IF(AE40=9,AE32,IF(AE40=8,AD32,IF(AE40=7,AC32,IF(AE40=6,AB32,IF(AE40=5,AA33,IF(AE40=4,Z33,AG40))))))</f>
        <v>NINETY</v>
      </c>
      <c r="AG40" s="23">
        <f>IF(AE40=3,Y33,IF(AE40=2,AR31,AH40))</f>
        <v>0</v>
      </c>
      <c r="AH40" s="23">
        <f>IF(AE41=1,AR36,0)</f>
        <v>0</v>
      </c>
      <c r="AI40" s="23" t="str">
        <f>IF(AE39&gt;0,AR36&amp;" "&amp;Z31,Z31)</f>
        <v>NINETY   ONLY</v>
      </c>
      <c r="AJ40" s="23"/>
      <c r="AK40" s="23"/>
      <c r="AL40" s="23" t="str">
        <f>+AM40</f>
        <v>NINTEEN</v>
      </c>
      <c r="AM40" s="23" t="str">
        <f>IF(AE40=9,AQ31,IF(AE40=8,AP31,IF(AE40=7,AO31,IF(AE40=6,AN31,IF(AE40=5,AM31,AN40)))))</f>
        <v>NINTEEN</v>
      </c>
      <c r="AN40" s="23" t="str">
        <f>IF(AE40=4,AL31,IF(AE40=3,AK31,IF(AE40=2,AI34,AF41)))</f>
        <v>TEN</v>
      </c>
      <c r="AO40" s="23" t="str">
        <f>"LAKH"&amp;" "&amp;AI37</f>
        <v>LAKH SIXTY SIX THOUSAND THREE HUNDRED NINETY   ONLY</v>
      </c>
      <c r="AP40" s="23"/>
      <c r="AQ40" s="23"/>
      <c r="AR40" s="23"/>
      <c r="AS40" s="23"/>
    </row>
    <row r="41" spans="1:45">
      <c r="A41" s="66"/>
      <c r="B41" s="67"/>
      <c r="C41" s="67"/>
      <c r="D41" s="68"/>
      <c r="E41" s="71"/>
      <c r="F41" s="64"/>
      <c r="G41" s="49"/>
      <c r="H41" s="65"/>
      <c r="I41" s="65"/>
      <c r="J41" s="65"/>
      <c r="K41" s="64"/>
      <c r="L41" s="49"/>
      <c r="M41" s="64"/>
      <c r="N41" s="49"/>
      <c r="O41" s="64"/>
      <c r="P41" s="49"/>
      <c r="Q41" s="49"/>
      <c r="R41" s="49"/>
      <c r="S41" s="49"/>
      <c r="T41" s="49"/>
      <c r="U41" s="71"/>
      <c r="V41" s="50"/>
      <c r="Y41" s="23"/>
      <c r="Z41" s="23" t="str">
        <f>RIGHT(Y38,1)</f>
        <v>0</v>
      </c>
      <c r="AA41" s="23" t="str">
        <f t="shared" si="1"/>
        <v>0</v>
      </c>
      <c r="AB41" s="23">
        <f t="shared" si="2"/>
        <v>0</v>
      </c>
      <c r="AC41" s="23"/>
      <c r="AD41" s="23"/>
      <c r="AE41" s="23">
        <f t="shared" si="3"/>
        <v>0</v>
      </c>
      <c r="AF41" s="23" t="str">
        <f>+IF(AE40=1,AK41,AG41)</f>
        <v>TEN</v>
      </c>
      <c r="AG41" s="23" t="str">
        <f>IF(AE41=9,AG31,IF(AE41=8,AF31,IF(AE41=7,AE31,IF(AE41=6,AD31,IF(AE41=5,AC31,IF(AE41=4,AB31,AH41))))))</f>
        <v>TEN</v>
      </c>
      <c r="AH41" s="23" t="str">
        <f>IF(AE41=3,AA32,IF(AE41=2,Z32,IF(AE41=1,Y32,IF(AE41=0,AH31,0))))</f>
        <v>TEN</v>
      </c>
      <c r="AI41" s="23" t="str">
        <f>IF(AE39&gt;0,AR37&amp;" "&amp;Z31,Y31)</f>
        <v xml:space="preserve">  ONLY</v>
      </c>
      <c r="AJ41" s="23"/>
      <c r="AK41" s="23" t="str">
        <f>IF(AE41=9,AQ31,IF(AE41=8,AP31,IF(AE41=7,AO31,IF(AE41=6,AN31,IF(AE41=5,AM31,AL41)))))</f>
        <v>TEN</v>
      </c>
      <c r="AL41" s="23" t="str">
        <f>IF(AE41=4,AL31,IF(AE41=3,AK31,IF(AE41=2,AJ31,IF(AE41=1,AI31,AH31))))</f>
        <v>TEN</v>
      </c>
      <c r="AM41" s="23">
        <f>IF(AE41=9,AQ32,IF(AE41=8,AP32,IF(AE41=7,AO32,IF(AE41=6,AN32,IF(AE41=5,AM32,AN41)))))</f>
        <v>0</v>
      </c>
      <c r="AN41" s="23">
        <f>IF(AE41=4,AL32,IF(AE41=3,AK32,IF(AE41=2,AI35,IF(AE41=1,AI32,AF34))))</f>
        <v>0</v>
      </c>
      <c r="AO41" s="23"/>
      <c r="AP41" s="23"/>
      <c r="AQ41" s="23"/>
      <c r="AR41" s="23"/>
      <c r="AS41" s="23"/>
    </row>
    <row r="42" spans="1:45">
      <c r="A42" s="66"/>
      <c r="B42" s="67"/>
      <c r="C42" s="67"/>
      <c r="D42" s="68"/>
      <c r="E42" s="71"/>
      <c r="F42" s="64"/>
      <c r="G42" s="49"/>
      <c r="H42" s="65"/>
      <c r="I42" s="65"/>
      <c r="J42" s="65"/>
      <c r="K42" s="64"/>
      <c r="L42" s="49"/>
      <c r="M42" s="64"/>
      <c r="N42" s="49"/>
      <c r="O42" s="64"/>
      <c r="P42" s="49"/>
      <c r="Q42" s="49"/>
      <c r="R42" s="49"/>
      <c r="S42" s="49"/>
      <c r="T42" s="49"/>
      <c r="U42" s="71"/>
      <c r="V42" s="50"/>
    </row>
    <row r="43" spans="1:45" ht="13.5" thickBot="1">
      <c r="A43" s="72"/>
      <c r="B43" s="73"/>
      <c r="C43" s="73"/>
      <c r="D43" s="73"/>
      <c r="E43" s="73"/>
      <c r="F43" s="73"/>
      <c r="G43" s="73"/>
      <c r="H43" s="73"/>
      <c r="I43" s="73"/>
      <c r="J43" s="74" t="s">
        <v>72</v>
      </c>
      <c r="K43" s="74"/>
      <c r="L43" s="74"/>
      <c r="M43" s="74"/>
      <c r="N43" s="74"/>
      <c r="O43" s="74"/>
      <c r="P43" s="74"/>
      <c r="Q43" s="74"/>
      <c r="R43" s="74"/>
      <c r="S43" s="74"/>
      <c r="T43" s="74"/>
      <c r="U43" s="74"/>
      <c r="V43" s="75"/>
    </row>
  </sheetData>
  <sheetProtection password="C6CE" sheet="1" objects="1" scenarios="1" selectLockedCells="1"/>
  <mergeCells count="181">
    <mergeCell ref="AZ17:BB17"/>
    <mergeCell ref="B11:E11"/>
    <mergeCell ref="F11:K11"/>
    <mergeCell ref="F8:K8"/>
    <mergeCell ref="F9:K9"/>
    <mergeCell ref="F10:K10"/>
    <mergeCell ref="H1:R1"/>
    <mergeCell ref="U1:V1"/>
    <mergeCell ref="H2:R2"/>
    <mergeCell ref="H3:R3"/>
    <mergeCell ref="H4:R4"/>
    <mergeCell ref="L6:M6"/>
    <mergeCell ref="N6:O6"/>
    <mergeCell ref="I6:K6"/>
    <mergeCell ref="O16:P16"/>
    <mergeCell ref="Q16:R16"/>
    <mergeCell ref="S16:T16"/>
    <mergeCell ref="U16:V16"/>
    <mergeCell ref="H17:J17"/>
    <mergeCell ref="K17:L17"/>
    <mergeCell ref="M17:N17"/>
    <mergeCell ref="H16:J16"/>
    <mergeCell ref="K16:L16"/>
    <mergeCell ref="M16:N16"/>
    <mergeCell ref="O18:P18"/>
    <mergeCell ref="Q18:R18"/>
    <mergeCell ref="S18:T18"/>
    <mergeCell ref="U18:V18"/>
    <mergeCell ref="H19:J19"/>
    <mergeCell ref="K19:L19"/>
    <mergeCell ref="M19:N19"/>
    <mergeCell ref="O17:P17"/>
    <mergeCell ref="Q17:R17"/>
    <mergeCell ref="S17:T17"/>
    <mergeCell ref="U17:V17"/>
    <mergeCell ref="H18:J18"/>
    <mergeCell ref="K18:L18"/>
    <mergeCell ref="M18:N18"/>
    <mergeCell ref="O20:P20"/>
    <mergeCell ref="Q20:R20"/>
    <mergeCell ref="S20:T20"/>
    <mergeCell ref="U20:V20"/>
    <mergeCell ref="H21:J21"/>
    <mergeCell ref="K21:L21"/>
    <mergeCell ref="M21:N21"/>
    <mergeCell ref="O19:P19"/>
    <mergeCell ref="Q19:R19"/>
    <mergeCell ref="S19:T19"/>
    <mergeCell ref="U19:V19"/>
    <mergeCell ref="H20:J20"/>
    <mergeCell ref="K20:L20"/>
    <mergeCell ref="M20:N20"/>
    <mergeCell ref="O22:P22"/>
    <mergeCell ref="Q22:R22"/>
    <mergeCell ref="S22:T22"/>
    <mergeCell ref="U22:V22"/>
    <mergeCell ref="H23:J23"/>
    <mergeCell ref="K23:L23"/>
    <mergeCell ref="M23:N23"/>
    <mergeCell ref="O21:P21"/>
    <mergeCell ref="Q21:R21"/>
    <mergeCell ref="S21:T21"/>
    <mergeCell ref="U21:V21"/>
    <mergeCell ref="H22:J22"/>
    <mergeCell ref="K22:L22"/>
    <mergeCell ref="M22:N22"/>
    <mergeCell ref="O24:P24"/>
    <mergeCell ref="Q24:R24"/>
    <mergeCell ref="S24:T24"/>
    <mergeCell ref="U24:V24"/>
    <mergeCell ref="H25:J25"/>
    <mergeCell ref="K25:L25"/>
    <mergeCell ref="M25:N25"/>
    <mergeCell ref="O23:P23"/>
    <mergeCell ref="Q23:R23"/>
    <mergeCell ref="S23:T23"/>
    <mergeCell ref="U23:V23"/>
    <mergeCell ref="H24:J24"/>
    <mergeCell ref="K24:L24"/>
    <mergeCell ref="M24:N24"/>
    <mergeCell ref="O26:P26"/>
    <mergeCell ref="Q26:R26"/>
    <mergeCell ref="S26:T26"/>
    <mergeCell ref="U26:V26"/>
    <mergeCell ref="H27:J27"/>
    <mergeCell ref="K27:L27"/>
    <mergeCell ref="M27:N27"/>
    <mergeCell ref="O25:P25"/>
    <mergeCell ref="Q25:R25"/>
    <mergeCell ref="S25:T25"/>
    <mergeCell ref="U25:V25"/>
    <mergeCell ref="H26:J26"/>
    <mergeCell ref="K26:L26"/>
    <mergeCell ref="M26:N26"/>
    <mergeCell ref="U29:V29"/>
    <mergeCell ref="O28:P28"/>
    <mergeCell ref="Q28:R28"/>
    <mergeCell ref="S28:T28"/>
    <mergeCell ref="U28:V28"/>
    <mergeCell ref="H29:J29"/>
    <mergeCell ref="K29:L29"/>
    <mergeCell ref="M29:N29"/>
    <mergeCell ref="O27:P27"/>
    <mergeCell ref="Q27:R27"/>
    <mergeCell ref="S27:T27"/>
    <mergeCell ref="U27:V27"/>
    <mergeCell ref="H28:J28"/>
    <mergeCell ref="K28:L28"/>
    <mergeCell ref="M28:N28"/>
    <mergeCell ref="U14:V15"/>
    <mergeCell ref="A6:H6"/>
    <mergeCell ref="H14:N14"/>
    <mergeCell ref="H15:J15"/>
    <mergeCell ref="D16:E16"/>
    <mergeCell ref="F16:G16"/>
    <mergeCell ref="K15:L15"/>
    <mergeCell ref="M15:N15"/>
    <mergeCell ref="Q30:R30"/>
    <mergeCell ref="B8:E8"/>
    <mergeCell ref="M10:Q10"/>
    <mergeCell ref="A16:C16"/>
    <mergeCell ref="D15:E15"/>
    <mergeCell ref="F15:G15"/>
    <mergeCell ref="D14:G14"/>
    <mergeCell ref="H30:J30"/>
    <mergeCell ref="K30:L30"/>
    <mergeCell ref="M30:N30"/>
    <mergeCell ref="O30:P30"/>
    <mergeCell ref="S30:T30"/>
    <mergeCell ref="U30:V30"/>
    <mergeCell ref="O29:P29"/>
    <mergeCell ref="Q29:R29"/>
    <mergeCell ref="S29:T29"/>
    <mergeCell ref="D25:E25"/>
    <mergeCell ref="D26:E26"/>
    <mergeCell ref="A13:V13"/>
    <mergeCell ref="D17:E17"/>
    <mergeCell ref="D18:E18"/>
    <mergeCell ref="D19:E19"/>
    <mergeCell ref="D20:E20"/>
    <mergeCell ref="A29:C29"/>
    <mergeCell ref="A23:C23"/>
    <mergeCell ref="A24:C24"/>
    <mergeCell ref="A25:C25"/>
    <mergeCell ref="A26:C26"/>
    <mergeCell ref="A27:C27"/>
    <mergeCell ref="A28:C28"/>
    <mergeCell ref="A17:C17"/>
    <mergeCell ref="A18:C18"/>
    <mergeCell ref="A19:C19"/>
    <mergeCell ref="A20:C20"/>
    <mergeCell ref="A21:C21"/>
    <mergeCell ref="A22:C22"/>
    <mergeCell ref="O14:P15"/>
    <mergeCell ref="Q14:T14"/>
    <mergeCell ref="Q15:R15"/>
    <mergeCell ref="S15:T15"/>
    <mergeCell ref="A14:C15"/>
    <mergeCell ref="A30:C30"/>
    <mergeCell ref="D30:E30"/>
    <mergeCell ref="F30:G30"/>
    <mergeCell ref="F26:G26"/>
    <mergeCell ref="F27:G27"/>
    <mergeCell ref="F28:G28"/>
    <mergeCell ref="F29:G29"/>
    <mergeCell ref="F17:G17"/>
    <mergeCell ref="F18:G18"/>
    <mergeCell ref="F19:G19"/>
    <mergeCell ref="F20:G20"/>
    <mergeCell ref="F21:G21"/>
    <mergeCell ref="F22:G22"/>
    <mergeCell ref="F23:G23"/>
    <mergeCell ref="F24:G24"/>
    <mergeCell ref="F25:G25"/>
    <mergeCell ref="D27:E27"/>
    <mergeCell ref="D28:E28"/>
    <mergeCell ref="D29:E29"/>
    <mergeCell ref="D21:E21"/>
    <mergeCell ref="D22:E22"/>
    <mergeCell ref="D23:E23"/>
    <mergeCell ref="D24:E24"/>
  </mergeCells>
  <dataValidations count="1">
    <dataValidation type="list" allowBlank="1" showInputMessage="1" showErrorMessage="1" sqref="F8:K8">
      <formula1>$AA$1:$AA$23</formula1>
    </dataValidation>
  </dataValidations>
  <hyperlinks>
    <hyperlink ref="BA18" r:id="rId1"/>
  </hyperlinks>
  <pageMargins left="0.39370078740157483" right="0.31496062992125984" top="0.19685039370078741" bottom="0.19685039370078741" header="0" footer="0"/>
  <pageSetup paperSize="9" orientation="landscape" r:id="rId2"/>
  <headerFooter alignWithMargins="0"/>
  <drawing r:id="rId3"/>
</worksheet>
</file>

<file path=xl/worksheets/sheet3.xml><?xml version="1.0" encoding="utf-8"?>
<worksheet xmlns="http://schemas.openxmlformats.org/spreadsheetml/2006/main" xmlns:r="http://schemas.openxmlformats.org/officeDocument/2006/relationships">
  <dimension ref="A1:CP31"/>
  <sheetViews>
    <sheetView workbookViewId="0">
      <pane xSplit="2" ySplit="3" topLeftCell="BV4" activePane="bottomRight" state="frozen"/>
      <selection pane="topRight" activeCell="C1" sqref="C1"/>
      <selection pane="bottomLeft" activeCell="A4" sqref="A4"/>
      <selection pane="bottomRight" activeCell="A30" sqref="A30:A31"/>
    </sheetView>
  </sheetViews>
  <sheetFormatPr defaultRowHeight="12.75"/>
  <cols>
    <col min="1" max="1" width="11.28515625" style="18" bestFit="1" customWidth="1"/>
    <col min="2" max="2" width="24.42578125" style="18" customWidth="1"/>
    <col min="3" max="3" width="15" style="18" customWidth="1"/>
    <col min="4" max="4" width="9.140625" style="18"/>
    <col min="5" max="5" width="8.5703125" style="23" customWidth="1"/>
    <col min="6" max="6" width="9" style="23" customWidth="1"/>
    <col min="7" max="10" width="8.5703125" style="23" customWidth="1"/>
    <col min="11" max="11" width="9.140625" style="18"/>
    <col min="12" max="12" width="8.5703125" style="23" customWidth="1"/>
    <col min="13" max="13" width="9" style="23" customWidth="1"/>
    <col min="14" max="17" width="8.5703125" style="23" customWidth="1"/>
    <col min="18" max="18" width="9.140625" style="18"/>
    <col min="19" max="19" width="8.5703125" style="23" customWidth="1"/>
    <col min="20" max="20" width="9" style="23" customWidth="1"/>
    <col min="21" max="24" width="8.5703125" style="23" customWidth="1"/>
    <col min="25" max="25" width="9.140625" style="18"/>
    <col min="26" max="26" width="8.5703125" style="23" customWidth="1"/>
    <col min="27" max="27" width="9" style="23" customWidth="1"/>
    <col min="28" max="31" width="8.5703125" style="23" customWidth="1"/>
    <col min="32" max="32" width="9.140625" style="18"/>
    <col min="33" max="33" width="8.5703125" style="23" customWidth="1"/>
    <col min="34" max="34" width="9" style="23" customWidth="1"/>
    <col min="35" max="38" width="8.5703125" style="23" customWidth="1"/>
    <col min="39" max="39" width="9.140625" style="18"/>
    <col min="40" max="40" width="8.5703125" style="23" customWidth="1"/>
    <col min="41" max="41" width="9" style="23" customWidth="1"/>
    <col min="42" max="45" width="8.5703125" style="23" customWidth="1"/>
    <col min="46" max="46" width="9.140625" style="18"/>
    <col min="47" max="47" width="8.5703125" style="23" customWidth="1"/>
    <col min="48" max="48" width="9" style="23" customWidth="1"/>
    <col min="49" max="52" width="8.5703125" style="23" customWidth="1"/>
    <col min="53" max="53" width="9.140625" style="18"/>
    <col min="54" max="54" width="8.5703125" style="23" customWidth="1"/>
    <col min="55" max="55" width="9" style="23" customWidth="1"/>
    <col min="56" max="59" width="8.5703125" style="23" customWidth="1"/>
    <col min="60" max="60" width="9.140625" style="18"/>
    <col min="61" max="61" width="8.5703125" style="23" customWidth="1"/>
    <col min="62" max="62" width="9" style="23" customWidth="1"/>
    <col min="63" max="66" width="8.5703125" style="23" customWidth="1"/>
    <col min="67" max="67" width="9.140625" style="18"/>
    <col min="68" max="68" width="8.5703125" style="23" customWidth="1"/>
    <col min="69" max="69" width="9" style="23" customWidth="1"/>
    <col min="70" max="73" width="8.5703125" style="23" customWidth="1"/>
    <col min="74" max="74" width="9.140625" style="18"/>
    <col min="75" max="75" width="8.5703125" style="23" customWidth="1"/>
    <col min="76" max="76" width="9" style="23" customWidth="1"/>
    <col min="77" max="80" width="8.5703125" style="23" customWidth="1"/>
    <col min="81" max="81" width="9.140625" style="18"/>
    <col min="82" max="82" width="8.5703125" style="23" customWidth="1"/>
    <col min="83" max="83" width="9" style="23" customWidth="1"/>
    <col min="84" max="87" width="8.5703125" style="23" customWidth="1"/>
    <col min="88" max="16384" width="9.140625" style="18"/>
  </cols>
  <sheetData>
    <row r="1" spans="1:94" s="23" customFormat="1" ht="14.25">
      <c r="A1" s="22" t="s">
        <v>118</v>
      </c>
      <c r="D1" s="24"/>
      <c r="E1" s="25"/>
      <c r="F1" s="25"/>
      <c r="G1" s="25"/>
      <c r="H1" s="25"/>
      <c r="I1" s="25"/>
      <c r="J1" s="26"/>
      <c r="K1" s="24"/>
      <c r="L1" s="25"/>
      <c r="M1" s="25"/>
      <c r="N1" s="25"/>
      <c r="O1" s="25"/>
      <c r="P1" s="25"/>
      <c r="Q1" s="26"/>
      <c r="R1" s="24"/>
      <c r="S1" s="25"/>
      <c r="T1" s="25"/>
      <c r="U1" s="25"/>
      <c r="V1" s="25"/>
      <c r="W1" s="25"/>
      <c r="X1" s="26"/>
      <c r="Y1" s="24"/>
      <c r="Z1" s="25"/>
      <c r="AA1" s="25"/>
      <c r="AB1" s="25"/>
      <c r="AC1" s="25"/>
      <c r="AD1" s="25"/>
      <c r="AE1" s="26"/>
      <c r="AF1" s="24"/>
      <c r="AG1" s="25"/>
      <c r="AH1" s="25"/>
      <c r="AI1" s="25"/>
      <c r="AJ1" s="25"/>
      <c r="AK1" s="25"/>
      <c r="AL1" s="26"/>
      <c r="AM1" s="24"/>
      <c r="AN1" s="25"/>
      <c r="AO1" s="25"/>
      <c r="AP1" s="25"/>
      <c r="AQ1" s="25"/>
      <c r="AR1" s="25"/>
      <c r="AS1" s="26"/>
      <c r="AT1" s="24"/>
      <c r="AU1" s="25"/>
      <c r="AV1" s="25"/>
      <c r="AW1" s="25"/>
      <c r="AX1" s="25"/>
      <c r="AY1" s="25"/>
      <c r="AZ1" s="26"/>
      <c r="BA1" s="24"/>
      <c r="BB1" s="25"/>
      <c r="BC1" s="25"/>
      <c r="BD1" s="25"/>
      <c r="BE1" s="25"/>
      <c r="BF1" s="25"/>
      <c r="BG1" s="26"/>
      <c r="BH1" s="24"/>
      <c r="BI1" s="25"/>
      <c r="BJ1" s="25"/>
      <c r="BK1" s="25"/>
      <c r="BL1" s="25"/>
      <c r="BM1" s="25"/>
      <c r="BN1" s="26"/>
      <c r="BO1" s="24"/>
      <c r="BP1" s="25"/>
      <c r="BQ1" s="25"/>
      <c r="BR1" s="25"/>
      <c r="BS1" s="25"/>
      <c r="BT1" s="25"/>
      <c r="BU1" s="26"/>
      <c r="BV1" s="24"/>
      <c r="BW1" s="25"/>
      <c r="BX1" s="25"/>
      <c r="BY1" s="25"/>
      <c r="BZ1" s="25"/>
      <c r="CA1" s="25"/>
      <c r="CB1" s="26"/>
      <c r="CC1" s="24"/>
      <c r="CD1" s="25"/>
      <c r="CE1" s="25"/>
      <c r="CF1" s="25"/>
      <c r="CG1" s="25"/>
      <c r="CH1" s="25"/>
      <c r="CI1" s="26"/>
      <c r="CJ1" s="24"/>
      <c r="CK1" s="25"/>
      <c r="CL1" s="25"/>
      <c r="CM1" s="25"/>
      <c r="CN1" s="25"/>
      <c r="CO1" s="25"/>
      <c r="CP1" s="26"/>
    </row>
    <row r="2" spans="1:94" s="23" customFormat="1" ht="12.75" customHeight="1">
      <c r="A2" s="171" t="s">
        <v>119</v>
      </c>
      <c r="B2" s="172"/>
      <c r="C2" s="42"/>
      <c r="D2" s="27" t="s">
        <v>47</v>
      </c>
      <c r="E2" s="173" t="s">
        <v>81</v>
      </c>
      <c r="F2" s="173"/>
      <c r="G2" s="173" t="s">
        <v>77</v>
      </c>
      <c r="H2" s="173"/>
      <c r="I2" s="173"/>
      <c r="J2" s="169" t="s">
        <v>82</v>
      </c>
      <c r="K2" s="27" t="s">
        <v>48</v>
      </c>
      <c r="L2" s="173" t="s">
        <v>81</v>
      </c>
      <c r="M2" s="173"/>
      <c r="N2" s="173" t="s">
        <v>77</v>
      </c>
      <c r="O2" s="173"/>
      <c r="P2" s="173"/>
      <c r="Q2" s="169" t="s">
        <v>82</v>
      </c>
      <c r="R2" s="27" t="s">
        <v>49</v>
      </c>
      <c r="S2" s="173" t="s">
        <v>81</v>
      </c>
      <c r="T2" s="173"/>
      <c r="U2" s="173" t="s">
        <v>77</v>
      </c>
      <c r="V2" s="173"/>
      <c r="W2" s="173"/>
      <c r="X2" s="169" t="s">
        <v>82</v>
      </c>
      <c r="Y2" s="27" t="s">
        <v>50</v>
      </c>
      <c r="Z2" s="173" t="s">
        <v>81</v>
      </c>
      <c r="AA2" s="173"/>
      <c r="AB2" s="173" t="s">
        <v>77</v>
      </c>
      <c r="AC2" s="173"/>
      <c r="AD2" s="173"/>
      <c r="AE2" s="169" t="s">
        <v>82</v>
      </c>
      <c r="AF2" s="27" t="s">
        <v>51</v>
      </c>
      <c r="AG2" s="173" t="s">
        <v>81</v>
      </c>
      <c r="AH2" s="173"/>
      <c r="AI2" s="173" t="s">
        <v>77</v>
      </c>
      <c r="AJ2" s="173"/>
      <c r="AK2" s="173"/>
      <c r="AL2" s="169" t="s">
        <v>82</v>
      </c>
      <c r="AM2" s="27" t="s">
        <v>52</v>
      </c>
      <c r="AN2" s="173" t="s">
        <v>81</v>
      </c>
      <c r="AO2" s="173"/>
      <c r="AP2" s="173" t="s">
        <v>77</v>
      </c>
      <c r="AQ2" s="173"/>
      <c r="AR2" s="173"/>
      <c r="AS2" s="169" t="s">
        <v>82</v>
      </c>
      <c r="AT2" s="27" t="s">
        <v>53</v>
      </c>
      <c r="AU2" s="173" t="s">
        <v>81</v>
      </c>
      <c r="AV2" s="173"/>
      <c r="AW2" s="173" t="s">
        <v>77</v>
      </c>
      <c r="AX2" s="173"/>
      <c r="AY2" s="173"/>
      <c r="AZ2" s="169" t="s">
        <v>82</v>
      </c>
      <c r="BA2" s="27" t="s">
        <v>54</v>
      </c>
      <c r="BB2" s="173" t="s">
        <v>81</v>
      </c>
      <c r="BC2" s="173"/>
      <c r="BD2" s="173" t="s">
        <v>77</v>
      </c>
      <c r="BE2" s="173"/>
      <c r="BF2" s="173"/>
      <c r="BG2" s="169" t="s">
        <v>82</v>
      </c>
      <c r="BH2" s="27" t="s">
        <v>55</v>
      </c>
      <c r="BI2" s="173" t="s">
        <v>81</v>
      </c>
      <c r="BJ2" s="173"/>
      <c r="BK2" s="173" t="s">
        <v>77</v>
      </c>
      <c r="BL2" s="173"/>
      <c r="BM2" s="173"/>
      <c r="BN2" s="169" t="s">
        <v>82</v>
      </c>
      <c r="BO2" s="27" t="s">
        <v>56</v>
      </c>
      <c r="BP2" s="173" t="s">
        <v>81</v>
      </c>
      <c r="BQ2" s="173"/>
      <c r="BR2" s="173" t="s">
        <v>77</v>
      </c>
      <c r="BS2" s="173"/>
      <c r="BT2" s="173"/>
      <c r="BU2" s="169" t="s">
        <v>82</v>
      </c>
      <c r="BV2" s="27" t="s">
        <v>83</v>
      </c>
      <c r="BW2" s="173" t="s">
        <v>81</v>
      </c>
      <c r="BX2" s="173"/>
      <c r="BY2" s="173" t="s">
        <v>77</v>
      </c>
      <c r="BZ2" s="173"/>
      <c r="CA2" s="173"/>
      <c r="CB2" s="169" t="s">
        <v>82</v>
      </c>
      <c r="CC2" s="27" t="s">
        <v>58</v>
      </c>
      <c r="CD2" s="173" t="s">
        <v>81</v>
      </c>
      <c r="CE2" s="173"/>
      <c r="CF2" s="173" t="s">
        <v>77</v>
      </c>
      <c r="CG2" s="173"/>
      <c r="CH2" s="173"/>
      <c r="CI2" s="169" t="s">
        <v>82</v>
      </c>
      <c r="CJ2" s="40" t="s">
        <v>120</v>
      </c>
      <c r="CK2" s="173" t="s">
        <v>81</v>
      </c>
      <c r="CL2" s="173"/>
      <c r="CM2" s="173" t="s">
        <v>77</v>
      </c>
      <c r="CN2" s="173"/>
      <c r="CO2" s="173"/>
      <c r="CP2" s="169" t="s">
        <v>82</v>
      </c>
    </row>
    <row r="3" spans="1:94" s="23" customFormat="1" ht="24.75" thickBot="1">
      <c r="A3" s="28" t="s">
        <v>12</v>
      </c>
      <c r="B3" s="29" t="s">
        <v>73</v>
      </c>
      <c r="C3" s="43" t="s">
        <v>121</v>
      </c>
      <c r="D3" s="30" t="s">
        <v>74</v>
      </c>
      <c r="E3" s="31" t="s">
        <v>75</v>
      </c>
      <c r="F3" s="31" t="s">
        <v>76</v>
      </c>
      <c r="G3" s="31" t="s">
        <v>78</v>
      </c>
      <c r="H3" s="31" t="s">
        <v>79</v>
      </c>
      <c r="I3" s="31" t="s">
        <v>80</v>
      </c>
      <c r="J3" s="170"/>
      <c r="K3" s="30" t="s">
        <v>74</v>
      </c>
      <c r="L3" s="31" t="s">
        <v>75</v>
      </c>
      <c r="M3" s="31" t="s">
        <v>76</v>
      </c>
      <c r="N3" s="31" t="s">
        <v>78</v>
      </c>
      <c r="O3" s="31" t="s">
        <v>79</v>
      </c>
      <c r="P3" s="31" t="s">
        <v>80</v>
      </c>
      <c r="Q3" s="170"/>
      <c r="R3" s="30" t="s">
        <v>74</v>
      </c>
      <c r="S3" s="31" t="s">
        <v>75</v>
      </c>
      <c r="T3" s="31" t="s">
        <v>76</v>
      </c>
      <c r="U3" s="31" t="s">
        <v>78</v>
      </c>
      <c r="V3" s="31" t="s">
        <v>79</v>
      </c>
      <c r="W3" s="31" t="s">
        <v>80</v>
      </c>
      <c r="X3" s="170"/>
      <c r="Y3" s="30" t="s">
        <v>74</v>
      </c>
      <c r="Z3" s="31" t="s">
        <v>75</v>
      </c>
      <c r="AA3" s="31" t="s">
        <v>76</v>
      </c>
      <c r="AB3" s="31" t="s">
        <v>78</v>
      </c>
      <c r="AC3" s="31" t="s">
        <v>79</v>
      </c>
      <c r="AD3" s="31" t="s">
        <v>80</v>
      </c>
      <c r="AE3" s="170"/>
      <c r="AF3" s="30" t="s">
        <v>74</v>
      </c>
      <c r="AG3" s="31" t="s">
        <v>75</v>
      </c>
      <c r="AH3" s="31" t="s">
        <v>76</v>
      </c>
      <c r="AI3" s="31" t="s">
        <v>78</v>
      </c>
      <c r="AJ3" s="31" t="s">
        <v>79</v>
      </c>
      <c r="AK3" s="31" t="s">
        <v>80</v>
      </c>
      <c r="AL3" s="170"/>
      <c r="AM3" s="30" t="s">
        <v>74</v>
      </c>
      <c r="AN3" s="31" t="s">
        <v>75</v>
      </c>
      <c r="AO3" s="31" t="s">
        <v>76</v>
      </c>
      <c r="AP3" s="31" t="s">
        <v>78</v>
      </c>
      <c r="AQ3" s="31" t="s">
        <v>79</v>
      </c>
      <c r="AR3" s="31" t="s">
        <v>80</v>
      </c>
      <c r="AS3" s="170"/>
      <c r="AT3" s="30" t="s">
        <v>74</v>
      </c>
      <c r="AU3" s="31" t="s">
        <v>75</v>
      </c>
      <c r="AV3" s="31" t="s">
        <v>76</v>
      </c>
      <c r="AW3" s="31" t="s">
        <v>78</v>
      </c>
      <c r="AX3" s="31" t="s">
        <v>79</v>
      </c>
      <c r="AY3" s="31" t="s">
        <v>80</v>
      </c>
      <c r="AZ3" s="170"/>
      <c r="BA3" s="30" t="s">
        <v>74</v>
      </c>
      <c r="BB3" s="31" t="s">
        <v>75</v>
      </c>
      <c r="BC3" s="31" t="s">
        <v>76</v>
      </c>
      <c r="BD3" s="31" t="s">
        <v>78</v>
      </c>
      <c r="BE3" s="31" t="s">
        <v>79</v>
      </c>
      <c r="BF3" s="31" t="s">
        <v>80</v>
      </c>
      <c r="BG3" s="170"/>
      <c r="BH3" s="30" t="s">
        <v>74</v>
      </c>
      <c r="BI3" s="31" t="s">
        <v>75</v>
      </c>
      <c r="BJ3" s="31" t="s">
        <v>76</v>
      </c>
      <c r="BK3" s="31" t="s">
        <v>78</v>
      </c>
      <c r="BL3" s="31" t="s">
        <v>79</v>
      </c>
      <c r="BM3" s="31" t="s">
        <v>80</v>
      </c>
      <c r="BN3" s="170"/>
      <c r="BO3" s="30" t="s">
        <v>74</v>
      </c>
      <c r="BP3" s="31" t="s">
        <v>75</v>
      </c>
      <c r="BQ3" s="31" t="s">
        <v>76</v>
      </c>
      <c r="BR3" s="31" t="s">
        <v>78</v>
      </c>
      <c r="BS3" s="31" t="s">
        <v>79</v>
      </c>
      <c r="BT3" s="31" t="s">
        <v>80</v>
      </c>
      <c r="BU3" s="170"/>
      <c r="BV3" s="30" t="s">
        <v>74</v>
      </c>
      <c r="BW3" s="31" t="s">
        <v>75</v>
      </c>
      <c r="BX3" s="31" t="s">
        <v>76</v>
      </c>
      <c r="BY3" s="31" t="s">
        <v>78</v>
      </c>
      <c r="BZ3" s="31" t="s">
        <v>79</v>
      </c>
      <c r="CA3" s="31" t="s">
        <v>80</v>
      </c>
      <c r="CB3" s="170"/>
      <c r="CC3" s="30" t="s">
        <v>74</v>
      </c>
      <c r="CD3" s="31" t="s">
        <v>75</v>
      </c>
      <c r="CE3" s="31" t="s">
        <v>76</v>
      </c>
      <c r="CF3" s="31" t="s">
        <v>78</v>
      </c>
      <c r="CG3" s="31" t="s">
        <v>79</v>
      </c>
      <c r="CH3" s="31" t="s">
        <v>80</v>
      </c>
      <c r="CI3" s="170"/>
      <c r="CJ3" s="30" t="s">
        <v>74</v>
      </c>
      <c r="CK3" s="31" t="s">
        <v>75</v>
      </c>
      <c r="CL3" s="31" t="s">
        <v>76</v>
      </c>
      <c r="CM3" s="31" t="s">
        <v>78</v>
      </c>
      <c r="CN3" s="31" t="s">
        <v>79</v>
      </c>
      <c r="CO3" s="31" t="s">
        <v>80</v>
      </c>
      <c r="CP3" s="170"/>
    </row>
    <row r="4" spans="1:94">
      <c r="A4" s="185" t="s">
        <v>84</v>
      </c>
      <c r="B4" s="178" t="s">
        <v>106</v>
      </c>
      <c r="C4" s="179" t="s">
        <v>133</v>
      </c>
      <c r="D4" s="179">
        <v>3200</v>
      </c>
      <c r="E4" s="32">
        <f>ROUNDUP(D4*1.75%,0)</f>
        <v>56</v>
      </c>
      <c r="F4" s="32">
        <f>ROUND(D4*12%,0)</f>
        <v>384</v>
      </c>
      <c r="G4" s="32">
        <f>ROUNDUP(D4*4.75%,0)</f>
        <v>152</v>
      </c>
      <c r="H4" s="32">
        <f>F4-I4</f>
        <v>117</v>
      </c>
      <c r="I4" s="32">
        <f>ROUND(D4*8.33%,0)</f>
        <v>267</v>
      </c>
      <c r="J4" s="33">
        <f>D4-E4-F4</f>
        <v>2760</v>
      </c>
      <c r="K4" s="179">
        <v>3171</v>
      </c>
      <c r="L4" s="32">
        <f>ROUNDUP(K4*1.75%,0)</f>
        <v>56</v>
      </c>
      <c r="M4" s="34">
        <f t="shared" ref="M4:M11" si="0">ROUNDUP(K4*12%,0)</f>
        <v>381</v>
      </c>
      <c r="N4" s="32">
        <f>ROUNDUP(K4*4.75%,0)</f>
        <v>151</v>
      </c>
      <c r="O4" s="32">
        <f>M4-P4</f>
        <v>117</v>
      </c>
      <c r="P4" s="32">
        <f>ROUND(K4*8.33%,0)</f>
        <v>264</v>
      </c>
      <c r="Q4" s="33">
        <f>K4-L4-M4</f>
        <v>2734</v>
      </c>
      <c r="R4" s="179">
        <v>3171</v>
      </c>
      <c r="S4" s="32">
        <f>ROUNDUP(R4*1.75%,0)</f>
        <v>56</v>
      </c>
      <c r="T4" s="32">
        <f>ROUND(R4*12%,0)</f>
        <v>381</v>
      </c>
      <c r="U4" s="32">
        <f>ROUNDUP(R4*4.75%,0)</f>
        <v>151</v>
      </c>
      <c r="V4" s="32">
        <f>T4-W4</f>
        <v>117</v>
      </c>
      <c r="W4" s="32">
        <f>ROUND(R4*8.33%,0)</f>
        <v>264</v>
      </c>
      <c r="X4" s="33">
        <f>R4-S4-T4</f>
        <v>2734</v>
      </c>
      <c r="Y4" s="179">
        <v>3322</v>
      </c>
      <c r="Z4" s="32">
        <f>ROUNDUP(Y4*1.75%,0)</f>
        <v>59</v>
      </c>
      <c r="AA4" s="32">
        <f>ROUND(Y4*12%,0)</f>
        <v>399</v>
      </c>
      <c r="AB4" s="32">
        <f>ROUNDUP(Y4*4.75%,0)</f>
        <v>158</v>
      </c>
      <c r="AC4" s="32">
        <f>AA4-AD4</f>
        <v>122</v>
      </c>
      <c r="AD4" s="32">
        <f>ROUND(Y4*8.33%,0)</f>
        <v>277</v>
      </c>
      <c r="AE4" s="33">
        <f>Y4-Z4-AA4</f>
        <v>2864</v>
      </c>
      <c r="AF4" s="179">
        <v>3473</v>
      </c>
      <c r="AG4" s="32">
        <f>ROUNDUP(AF4*1.75%,0)</f>
        <v>61</v>
      </c>
      <c r="AH4" s="32">
        <f>ROUND(AF4*12%,0)</f>
        <v>417</v>
      </c>
      <c r="AI4" s="32">
        <f>ROUNDUP(AF4*4.75%,0)</f>
        <v>165</v>
      </c>
      <c r="AJ4" s="32">
        <f>AH4-AK4</f>
        <v>128</v>
      </c>
      <c r="AK4" s="32">
        <f>ROUND(AF4*8.33%,0)</f>
        <v>289</v>
      </c>
      <c r="AL4" s="33">
        <f>AF4-AG4-AH4</f>
        <v>2995</v>
      </c>
      <c r="AM4" s="179">
        <v>3473</v>
      </c>
      <c r="AN4" s="32">
        <f>ROUNDUP(AM4*1.75%,0)</f>
        <v>61</v>
      </c>
      <c r="AO4" s="32">
        <f>ROUND(AM4*12%,0)</f>
        <v>417</v>
      </c>
      <c r="AP4" s="32">
        <f>ROUNDUP(AM4*4.75%,0)</f>
        <v>165</v>
      </c>
      <c r="AQ4" s="32">
        <f>AO4-AR4</f>
        <v>128</v>
      </c>
      <c r="AR4" s="32">
        <f>ROUND(AM4*8.33%,0)</f>
        <v>289</v>
      </c>
      <c r="AS4" s="33">
        <f>AM4-AN4-AO4</f>
        <v>2995</v>
      </c>
      <c r="AT4" s="179">
        <v>3473</v>
      </c>
      <c r="AU4" s="32">
        <f>ROUNDUP(AT4*1.75%,0)</f>
        <v>61</v>
      </c>
      <c r="AV4" s="32">
        <f>ROUND(AT4*12%,0)</f>
        <v>417</v>
      </c>
      <c r="AW4" s="32">
        <f>ROUNDUP(AT4*4.75%,0)</f>
        <v>165</v>
      </c>
      <c r="AX4" s="32">
        <f>AV4-AY4</f>
        <v>128</v>
      </c>
      <c r="AY4" s="32">
        <f>ROUND(AT4*8.33%,0)</f>
        <v>289</v>
      </c>
      <c r="AZ4" s="33">
        <f>AT4-AU4-AV4</f>
        <v>2995</v>
      </c>
      <c r="BA4" s="179">
        <v>3322</v>
      </c>
      <c r="BB4" s="32">
        <f>ROUNDUP(BA4*1.75%,0)</f>
        <v>59</v>
      </c>
      <c r="BC4" s="32">
        <f>ROUND(BA4*12%,0)</f>
        <v>399</v>
      </c>
      <c r="BD4" s="32">
        <f>ROUNDUP(BA4*4.75%,0)</f>
        <v>158</v>
      </c>
      <c r="BE4" s="32">
        <f>BC4-BF4</f>
        <v>122</v>
      </c>
      <c r="BF4" s="32">
        <f>ROUND(BA4*8.33%,0)</f>
        <v>277</v>
      </c>
      <c r="BG4" s="33">
        <f>BA4-BB4-BC4</f>
        <v>2864</v>
      </c>
      <c r="BH4" s="179"/>
      <c r="BI4" s="32">
        <f>ROUNDUP(BH4*1.75%,0)</f>
        <v>0</v>
      </c>
      <c r="BJ4" s="32">
        <f>ROUND(BH4*12%,0)</f>
        <v>0</v>
      </c>
      <c r="BK4" s="32">
        <f>ROUNDUP(BH4*4.75%,0)</f>
        <v>0</v>
      </c>
      <c r="BL4" s="32">
        <f>BJ4-BM4</f>
        <v>0</v>
      </c>
      <c r="BM4" s="32">
        <f>ROUND(BH4*8.33%,0)</f>
        <v>0</v>
      </c>
      <c r="BN4" s="33">
        <f>BH4-BI4-BJ4</f>
        <v>0</v>
      </c>
      <c r="BO4" s="179"/>
      <c r="BP4" s="32">
        <f>ROUNDUP(BO4*1.75%,0)</f>
        <v>0</v>
      </c>
      <c r="BQ4" s="32">
        <f>ROUND(BO4*12%,0)</f>
        <v>0</v>
      </c>
      <c r="BR4" s="32">
        <f>ROUNDUP(BO4*4.75%,0)</f>
        <v>0</v>
      </c>
      <c r="BS4" s="32">
        <f>BQ4-BT4</f>
        <v>0</v>
      </c>
      <c r="BT4" s="32">
        <f>ROUND(BO4*8.33%,0)</f>
        <v>0</v>
      </c>
      <c r="BU4" s="33">
        <f>BO4-BP4-BQ4</f>
        <v>0</v>
      </c>
      <c r="BV4" s="179"/>
      <c r="BW4" s="32">
        <f>ROUNDUP(BV4*1.75%,0)</f>
        <v>0</v>
      </c>
      <c r="BX4" s="32">
        <f>ROUND(BV4*12%,0)</f>
        <v>0</v>
      </c>
      <c r="BY4" s="32">
        <f>ROUNDUP(BV4*4.75%,0)</f>
        <v>0</v>
      </c>
      <c r="BZ4" s="32">
        <f>BX4-CA4</f>
        <v>0</v>
      </c>
      <c r="CA4" s="32">
        <f>ROUND(BV4*8.33%,0)</f>
        <v>0</v>
      </c>
      <c r="CB4" s="33">
        <f>BV4-BW4-BX4</f>
        <v>0</v>
      </c>
      <c r="CC4" s="179"/>
      <c r="CD4" s="32">
        <f>ROUNDUP(CC4*1.75%,0)</f>
        <v>0</v>
      </c>
      <c r="CE4" s="32">
        <f>ROUND(CC4*12%,0)</f>
        <v>0</v>
      </c>
      <c r="CF4" s="32">
        <f>ROUNDUP(CC4*4.75%,0)</f>
        <v>0</v>
      </c>
      <c r="CG4" s="32">
        <f>CE4-CH4</f>
        <v>0</v>
      </c>
      <c r="CH4" s="32">
        <f>ROUND(CC4*8.33%,0)</f>
        <v>0</v>
      </c>
      <c r="CI4" s="33">
        <f>CC4-CD4-CE4</f>
        <v>0</v>
      </c>
      <c r="CJ4" s="32">
        <f t="shared" ref="CJ4:CJ25" si="1">D4+K4+R4+Y4+AF4+AM4+AT4+BA4+BH4+BO4+BV4+CC4</f>
        <v>26605</v>
      </c>
      <c r="CK4" s="32">
        <f t="shared" ref="CK4:CK25" si="2">E4+L4+S4+Z4+AG4+AN4+AU4+BB4+BI4+BP4+BW4+CD4</f>
        <v>469</v>
      </c>
      <c r="CL4" s="32">
        <f t="shared" ref="CL4:CL25" si="3">F4+M4+T4+AA4+AH4+AO4+AV4+BC4+BJ4+BQ4+BX4+CE4</f>
        <v>3195</v>
      </c>
      <c r="CM4" s="32">
        <f t="shared" ref="CM4:CM25" si="4">G4+N4+U4+AB4+AI4+AP4+AW4+BD4+BK4+BR4+BY4+CF4</f>
        <v>1265</v>
      </c>
      <c r="CN4" s="32">
        <f t="shared" ref="CN4:CN25" si="5">H4+O4+V4+AC4+AJ4+AQ4+AX4+BE4+BL4+BS4+BZ4+CG4</f>
        <v>979</v>
      </c>
      <c r="CO4" s="32">
        <f t="shared" ref="CO4:CO25" si="6">I4+P4+W4+AD4+AK4+AR4+AY4+BF4+BM4+BT4+CA4+CH4</f>
        <v>2216</v>
      </c>
      <c r="CP4" s="32">
        <f t="shared" ref="CP4:CP25" si="7">J4+Q4+X4+AE4+AL4+AS4+AZ4+BG4+BN4+BU4+CB4+CI4</f>
        <v>22941</v>
      </c>
    </row>
    <row r="5" spans="1:94">
      <c r="A5" s="186" t="s">
        <v>85</v>
      </c>
      <c r="B5" s="180" t="s">
        <v>107</v>
      </c>
      <c r="C5" s="181" t="s">
        <v>132</v>
      </c>
      <c r="D5" s="181">
        <v>0</v>
      </c>
      <c r="E5" s="34">
        <f t="shared" ref="E5:E25" si="8">ROUNDUP(D5*1.75%,0)</f>
        <v>0</v>
      </c>
      <c r="F5" s="34">
        <f t="shared" ref="F5:F25" si="9">ROUND(D5*12%,0)</f>
        <v>0</v>
      </c>
      <c r="G5" s="34">
        <f t="shared" ref="G5:G25" si="10">ROUNDUP(D5*4.75%,0)</f>
        <v>0</v>
      </c>
      <c r="H5" s="32">
        <f t="shared" ref="H5:H24" si="11">F5-I5</f>
        <v>0</v>
      </c>
      <c r="I5" s="34">
        <f t="shared" ref="I5:I25" si="12">ROUND(D5*8.33%,0)</f>
        <v>0</v>
      </c>
      <c r="J5" s="35">
        <f t="shared" ref="J5:J25" si="13">D5-E5-F5</f>
        <v>0</v>
      </c>
      <c r="K5" s="181">
        <v>0</v>
      </c>
      <c r="L5" s="34">
        <f t="shared" ref="L5:L25" si="14">ROUNDUP(K5*1.75%,0)</f>
        <v>0</v>
      </c>
      <c r="M5" s="34">
        <f t="shared" si="0"/>
        <v>0</v>
      </c>
      <c r="N5" s="34">
        <f t="shared" ref="N5:N25" si="15">ROUNDUP(K5*4.75%,0)</f>
        <v>0</v>
      </c>
      <c r="O5" s="32">
        <f t="shared" ref="O5:O24" si="16">M5-P5</f>
        <v>0</v>
      </c>
      <c r="P5" s="34">
        <f t="shared" ref="P5:P25" si="17">ROUND(K5*8.33%,0)</f>
        <v>0</v>
      </c>
      <c r="Q5" s="35">
        <f t="shared" ref="Q5:Q25" si="18">K5-L5-M5</f>
        <v>0</v>
      </c>
      <c r="R5" s="181">
        <v>0</v>
      </c>
      <c r="S5" s="34">
        <f t="shared" ref="S5:S25" si="19">ROUNDUP(R5*1.75%,0)</f>
        <v>0</v>
      </c>
      <c r="T5" s="34">
        <f t="shared" ref="T5:T25" si="20">ROUND(R5*12%,0)</f>
        <v>0</v>
      </c>
      <c r="U5" s="34">
        <f t="shared" ref="U5:U25" si="21">ROUNDUP(R5*4.75%,0)</f>
        <v>0</v>
      </c>
      <c r="V5" s="32">
        <f t="shared" ref="V5:V25" si="22">T5-W5</f>
        <v>0</v>
      </c>
      <c r="W5" s="34">
        <f t="shared" ref="W5:W25" si="23">ROUND(R5*8.33%,0)</f>
        <v>0</v>
      </c>
      <c r="X5" s="35">
        <f t="shared" ref="X5:X25" si="24">R5-S5-T5</f>
        <v>0</v>
      </c>
      <c r="Y5" s="181">
        <v>0</v>
      </c>
      <c r="Z5" s="34">
        <f t="shared" ref="Z5:Z25" si="25">ROUNDUP(Y5*1.75%,0)</f>
        <v>0</v>
      </c>
      <c r="AA5" s="34">
        <f t="shared" ref="AA5:AA25" si="26">ROUND(Y5*12%,0)</f>
        <v>0</v>
      </c>
      <c r="AB5" s="34">
        <f t="shared" ref="AB5:AB25" si="27">ROUNDUP(Y5*4.75%,0)</f>
        <v>0</v>
      </c>
      <c r="AC5" s="32">
        <f t="shared" ref="AC5:AC24" si="28">AA5-AD5</f>
        <v>0</v>
      </c>
      <c r="AD5" s="34">
        <f t="shared" ref="AD5:AD25" si="29">ROUND(Y5*8.33%,0)</f>
        <v>0</v>
      </c>
      <c r="AE5" s="35">
        <f t="shared" ref="AE5:AE25" si="30">Y5-Z5-AA5</f>
        <v>0</v>
      </c>
      <c r="AF5" s="181">
        <v>0</v>
      </c>
      <c r="AG5" s="34">
        <f t="shared" ref="AG5:AG25" si="31">ROUNDUP(AF5*1.75%,0)</f>
        <v>0</v>
      </c>
      <c r="AH5" s="34">
        <f t="shared" ref="AH5:AH25" si="32">ROUND(AF5*12%,0)</f>
        <v>0</v>
      </c>
      <c r="AI5" s="34">
        <f t="shared" ref="AI5:AI25" si="33">ROUNDUP(AF5*4.75%,0)</f>
        <v>0</v>
      </c>
      <c r="AJ5" s="32">
        <f t="shared" ref="AJ5:AJ24" si="34">AH5-AK5</f>
        <v>0</v>
      </c>
      <c r="AK5" s="34">
        <f t="shared" ref="AK5:AK25" si="35">ROUND(AF5*8.33%,0)</f>
        <v>0</v>
      </c>
      <c r="AL5" s="35">
        <f t="shared" ref="AL5:AL25" si="36">AF5-AG5-AH5</f>
        <v>0</v>
      </c>
      <c r="AM5" s="181">
        <v>0</v>
      </c>
      <c r="AN5" s="34">
        <f t="shared" ref="AN5:AN25" si="37">ROUNDUP(AM5*1.75%,0)</f>
        <v>0</v>
      </c>
      <c r="AO5" s="34">
        <f t="shared" ref="AO5:AO25" si="38">ROUND(AM5*12%,0)</f>
        <v>0</v>
      </c>
      <c r="AP5" s="34">
        <f t="shared" ref="AP5:AP25" si="39">ROUNDUP(AM5*4.75%,0)</f>
        <v>0</v>
      </c>
      <c r="AQ5" s="32">
        <f t="shared" ref="AQ5:AQ24" si="40">AO5-AR5</f>
        <v>0</v>
      </c>
      <c r="AR5" s="34">
        <f t="shared" ref="AR5:AR25" si="41">ROUND(AM5*8.33%,0)</f>
        <v>0</v>
      </c>
      <c r="AS5" s="35">
        <f t="shared" ref="AS5:AS25" si="42">AM5-AN5-AO5</f>
        <v>0</v>
      </c>
      <c r="AT5" s="181">
        <v>0</v>
      </c>
      <c r="AU5" s="34">
        <f t="shared" ref="AU5:AU25" si="43">ROUNDUP(AT5*1.75%,0)</f>
        <v>0</v>
      </c>
      <c r="AV5" s="34">
        <f t="shared" ref="AV5:AV25" si="44">ROUND(AT5*12%,0)</f>
        <v>0</v>
      </c>
      <c r="AW5" s="34">
        <f t="shared" ref="AW5:AW25" si="45">ROUNDUP(AT5*4.75%,0)</f>
        <v>0</v>
      </c>
      <c r="AX5" s="32">
        <f t="shared" ref="AX5:AX24" si="46">AV5-AY5</f>
        <v>0</v>
      </c>
      <c r="AY5" s="34">
        <f t="shared" ref="AY5:AY25" si="47">ROUND(AT5*8.33%,0)</f>
        <v>0</v>
      </c>
      <c r="AZ5" s="35">
        <f t="shared" ref="AZ5:AZ25" si="48">AT5-AU5-AV5</f>
        <v>0</v>
      </c>
      <c r="BA5" s="181">
        <v>0</v>
      </c>
      <c r="BB5" s="34">
        <f t="shared" ref="BB5:BB25" si="49">ROUNDUP(BA5*1.75%,0)</f>
        <v>0</v>
      </c>
      <c r="BC5" s="34">
        <f t="shared" ref="BC5:BC25" si="50">ROUND(BA5*12%,0)</f>
        <v>0</v>
      </c>
      <c r="BD5" s="34">
        <f t="shared" ref="BD5:BD25" si="51">ROUNDUP(BA5*4.75%,0)</f>
        <v>0</v>
      </c>
      <c r="BE5" s="32">
        <f t="shared" ref="BE5:BE25" si="52">BC5-BF5</f>
        <v>0</v>
      </c>
      <c r="BF5" s="34">
        <f t="shared" ref="BF5:BF25" si="53">ROUND(BA5*8.33%,0)</f>
        <v>0</v>
      </c>
      <c r="BG5" s="35">
        <f t="shared" ref="BG5:BG25" si="54">BA5-BB5-BC5</f>
        <v>0</v>
      </c>
      <c r="BH5" s="181"/>
      <c r="BI5" s="34">
        <f t="shared" ref="BI5:BI25" si="55">ROUNDUP(BH5*1.75%,0)</f>
        <v>0</v>
      </c>
      <c r="BJ5" s="34">
        <f t="shared" ref="BJ5:BJ25" si="56">ROUND(BH5*12%,0)</f>
        <v>0</v>
      </c>
      <c r="BK5" s="34">
        <f t="shared" ref="BK5:BK25" si="57">ROUNDUP(BH5*4.75%,0)</f>
        <v>0</v>
      </c>
      <c r="BL5" s="32">
        <f t="shared" ref="BL5:BL25" si="58">BJ5-BM5</f>
        <v>0</v>
      </c>
      <c r="BM5" s="34">
        <f t="shared" ref="BM5:BM25" si="59">ROUND(BH5*8.33%,0)</f>
        <v>0</v>
      </c>
      <c r="BN5" s="35">
        <f t="shared" ref="BN5:BN25" si="60">BH5-BI5-BJ5</f>
        <v>0</v>
      </c>
      <c r="BO5" s="181"/>
      <c r="BP5" s="34">
        <f t="shared" ref="BP5:BP25" si="61">ROUNDUP(BO5*1.75%,0)</f>
        <v>0</v>
      </c>
      <c r="BQ5" s="34">
        <f t="shared" ref="BQ5:BQ25" si="62">ROUND(BO5*12%,0)</f>
        <v>0</v>
      </c>
      <c r="BR5" s="34">
        <f t="shared" ref="BR5:BR25" si="63">ROUNDUP(BO5*4.75%,0)</f>
        <v>0</v>
      </c>
      <c r="BS5" s="32">
        <f t="shared" ref="BS5:BS25" si="64">BQ5-BT5</f>
        <v>0</v>
      </c>
      <c r="BT5" s="34">
        <f t="shared" ref="BT5:BT25" si="65">ROUND(BO5*8.33%,0)</f>
        <v>0</v>
      </c>
      <c r="BU5" s="35">
        <f t="shared" ref="BU5:BU25" si="66">BO5-BP5-BQ5</f>
        <v>0</v>
      </c>
      <c r="BV5" s="181"/>
      <c r="BW5" s="34">
        <f t="shared" ref="BW5:BW25" si="67">ROUNDUP(BV5*1.75%,0)</f>
        <v>0</v>
      </c>
      <c r="BX5" s="34">
        <f t="shared" ref="BX5:BX25" si="68">ROUND(BV5*12%,0)</f>
        <v>0</v>
      </c>
      <c r="BY5" s="34">
        <f t="shared" ref="BY5:BY25" si="69">ROUNDUP(BV5*4.75%,0)</f>
        <v>0</v>
      </c>
      <c r="BZ5" s="32">
        <f t="shared" ref="BZ5:BZ25" si="70">BX5-CA5</f>
        <v>0</v>
      </c>
      <c r="CA5" s="34">
        <f t="shared" ref="CA5:CA25" si="71">ROUND(BV5*8.33%,0)</f>
        <v>0</v>
      </c>
      <c r="CB5" s="35">
        <f t="shared" ref="CB5:CB25" si="72">BV5-BW5-BX5</f>
        <v>0</v>
      </c>
      <c r="CC5" s="181"/>
      <c r="CD5" s="34">
        <f t="shared" ref="CD5:CD25" si="73">ROUNDUP(CC5*1.75%,0)</f>
        <v>0</v>
      </c>
      <c r="CE5" s="34">
        <f t="shared" ref="CE5:CE25" si="74">ROUND(CC5*12%,0)</f>
        <v>0</v>
      </c>
      <c r="CF5" s="34">
        <f t="shared" ref="CF5:CF25" si="75">ROUNDUP(CC5*4.75%,0)</f>
        <v>0</v>
      </c>
      <c r="CG5" s="32">
        <f t="shared" ref="CG5:CG25" si="76">CE5-CH5</f>
        <v>0</v>
      </c>
      <c r="CH5" s="34">
        <f t="shared" ref="CH5:CH25" si="77">ROUND(CC5*8.33%,0)</f>
        <v>0</v>
      </c>
      <c r="CI5" s="35">
        <f t="shared" ref="CI5:CI25" si="78">CC5-CD5-CE5</f>
        <v>0</v>
      </c>
      <c r="CJ5" s="32">
        <f t="shared" si="1"/>
        <v>0</v>
      </c>
      <c r="CK5" s="32">
        <f t="shared" si="2"/>
        <v>0</v>
      </c>
      <c r="CL5" s="32">
        <f t="shared" si="3"/>
        <v>0</v>
      </c>
      <c r="CM5" s="32">
        <f t="shared" si="4"/>
        <v>0</v>
      </c>
      <c r="CN5" s="32">
        <f t="shared" si="5"/>
        <v>0</v>
      </c>
      <c r="CO5" s="32">
        <f t="shared" si="6"/>
        <v>0</v>
      </c>
      <c r="CP5" s="32">
        <f t="shared" si="7"/>
        <v>0</v>
      </c>
    </row>
    <row r="6" spans="1:94">
      <c r="A6" s="186" t="s">
        <v>86</v>
      </c>
      <c r="B6" s="180" t="s">
        <v>108</v>
      </c>
      <c r="C6" s="181" t="s">
        <v>131</v>
      </c>
      <c r="D6" s="181">
        <v>3150</v>
      </c>
      <c r="E6" s="34">
        <f t="shared" si="8"/>
        <v>56</v>
      </c>
      <c r="F6" s="34">
        <f t="shared" si="9"/>
        <v>378</v>
      </c>
      <c r="G6" s="34">
        <f t="shared" si="10"/>
        <v>150</v>
      </c>
      <c r="H6" s="32">
        <f t="shared" si="11"/>
        <v>116</v>
      </c>
      <c r="I6" s="34">
        <f t="shared" si="12"/>
        <v>262</v>
      </c>
      <c r="J6" s="35">
        <f t="shared" si="13"/>
        <v>2716</v>
      </c>
      <c r="K6" s="181">
        <v>3171</v>
      </c>
      <c r="L6" s="34">
        <f t="shared" si="14"/>
        <v>56</v>
      </c>
      <c r="M6" s="34">
        <f t="shared" si="0"/>
        <v>381</v>
      </c>
      <c r="N6" s="34">
        <f t="shared" si="15"/>
        <v>151</v>
      </c>
      <c r="O6" s="32">
        <f t="shared" si="16"/>
        <v>117</v>
      </c>
      <c r="P6" s="34">
        <f t="shared" si="17"/>
        <v>264</v>
      </c>
      <c r="Q6" s="35">
        <f t="shared" si="18"/>
        <v>2734</v>
      </c>
      <c r="R6" s="181">
        <v>3171</v>
      </c>
      <c r="S6" s="34">
        <f t="shared" si="19"/>
        <v>56</v>
      </c>
      <c r="T6" s="34">
        <f t="shared" si="20"/>
        <v>381</v>
      </c>
      <c r="U6" s="34">
        <f t="shared" si="21"/>
        <v>151</v>
      </c>
      <c r="V6" s="32">
        <f t="shared" si="22"/>
        <v>117</v>
      </c>
      <c r="W6" s="34">
        <f t="shared" si="23"/>
        <v>264</v>
      </c>
      <c r="X6" s="35">
        <f t="shared" si="24"/>
        <v>2734</v>
      </c>
      <c r="Y6" s="181">
        <v>3322</v>
      </c>
      <c r="Z6" s="34">
        <f t="shared" si="25"/>
        <v>59</v>
      </c>
      <c r="AA6" s="34">
        <f t="shared" si="26"/>
        <v>399</v>
      </c>
      <c r="AB6" s="34">
        <f t="shared" si="27"/>
        <v>158</v>
      </c>
      <c r="AC6" s="32">
        <f t="shared" si="28"/>
        <v>122</v>
      </c>
      <c r="AD6" s="34">
        <f t="shared" si="29"/>
        <v>277</v>
      </c>
      <c r="AE6" s="35">
        <f t="shared" si="30"/>
        <v>2864</v>
      </c>
      <c r="AF6" s="181">
        <v>3473</v>
      </c>
      <c r="AG6" s="34">
        <f t="shared" si="31"/>
        <v>61</v>
      </c>
      <c r="AH6" s="34">
        <f t="shared" si="32"/>
        <v>417</v>
      </c>
      <c r="AI6" s="34">
        <f t="shared" si="33"/>
        <v>165</v>
      </c>
      <c r="AJ6" s="32">
        <f t="shared" si="34"/>
        <v>128</v>
      </c>
      <c r="AK6" s="34">
        <f t="shared" si="35"/>
        <v>289</v>
      </c>
      <c r="AL6" s="35">
        <f t="shared" si="36"/>
        <v>2995</v>
      </c>
      <c r="AM6" s="181">
        <v>3473</v>
      </c>
      <c r="AN6" s="34">
        <f t="shared" si="37"/>
        <v>61</v>
      </c>
      <c r="AO6" s="34">
        <f t="shared" si="38"/>
        <v>417</v>
      </c>
      <c r="AP6" s="34">
        <f t="shared" si="39"/>
        <v>165</v>
      </c>
      <c r="AQ6" s="32">
        <f t="shared" si="40"/>
        <v>128</v>
      </c>
      <c r="AR6" s="34">
        <f t="shared" si="41"/>
        <v>289</v>
      </c>
      <c r="AS6" s="35">
        <f t="shared" si="42"/>
        <v>2995</v>
      </c>
      <c r="AT6" s="181">
        <v>3473</v>
      </c>
      <c r="AU6" s="34">
        <f t="shared" si="43"/>
        <v>61</v>
      </c>
      <c r="AV6" s="34">
        <f t="shared" si="44"/>
        <v>417</v>
      </c>
      <c r="AW6" s="34">
        <f t="shared" si="45"/>
        <v>165</v>
      </c>
      <c r="AX6" s="32">
        <f t="shared" si="46"/>
        <v>128</v>
      </c>
      <c r="AY6" s="34">
        <f t="shared" si="47"/>
        <v>289</v>
      </c>
      <c r="AZ6" s="35">
        <f t="shared" si="48"/>
        <v>2995</v>
      </c>
      <c r="BA6" s="181">
        <v>3322</v>
      </c>
      <c r="BB6" s="34">
        <f t="shared" si="49"/>
        <v>59</v>
      </c>
      <c r="BC6" s="34">
        <f t="shared" si="50"/>
        <v>399</v>
      </c>
      <c r="BD6" s="34">
        <f t="shared" si="51"/>
        <v>158</v>
      </c>
      <c r="BE6" s="32">
        <f t="shared" si="52"/>
        <v>122</v>
      </c>
      <c r="BF6" s="34">
        <f t="shared" si="53"/>
        <v>277</v>
      </c>
      <c r="BG6" s="35">
        <f t="shared" si="54"/>
        <v>2864</v>
      </c>
      <c r="BH6" s="181"/>
      <c r="BI6" s="34">
        <f t="shared" si="55"/>
        <v>0</v>
      </c>
      <c r="BJ6" s="34">
        <f t="shared" si="56"/>
        <v>0</v>
      </c>
      <c r="BK6" s="34">
        <f t="shared" si="57"/>
        <v>0</v>
      </c>
      <c r="BL6" s="32">
        <f t="shared" si="58"/>
        <v>0</v>
      </c>
      <c r="BM6" s="34">
        <f t="shared" si="59"/>
        <v>0</v>
      </c>
      <c r="BN6" s="35">
        <f t="shared" si="60"/>
        <v>0</v>
      </c>
      <c r="BO6" s="181"/>
      <c r="BP6" s="34">
        <f t="shared" si="61"/>
        <v>0</v>
      </c>
      <c r="BQ6" s="34">
        <f t="shared" si="62"/>
        <v>0</v>
      </c>
      <c r="BR6" s="34">
        <f t="shared" si="63"/>
        <v>0</v>
      </c>
      <c r="BS6" s="32">
        <f t="shared" si="64"/>
        <v>0</v>
      </c>
      <c r="BT6" s="34">
        <f t="shared" si="65"/>
        <v>0</v>
      </c>
      <c r="BU6" s="35">
        <f t="shared" si="66"/>
        <v>0</v>
      </c>
      <c r="BV6" s="181"/>
      <c r="BW6" s="34">
        <f t="shared" si="67"/>
        <v>0</v>
      </c>
      <c r="BX6" s="34">
        <f t="shared" si="68"/>
        <v>0</v>
      </c>
      <c r="BY6" s="34">
        <f t="shared" si="69"/>
        <v>0</v>
      </c>
      <c r="BZ6" s="32">
        <f t="shared" si="70"/>
        <v>0</v>
      </c>
      <c r="CA6" s="34">
        <f t="shared" si="71"/>
        <v>0</v>
      </c>
      <c r="CB6" s="35">
        <f t="shared" si="72"/>
        <v>0</v>
      </c>
      <c r="CC6" s="181"/>
      <c r="CD6" s="34">
        <f t="shared" si="73"/>
        <v>0</v>
      </c>
      <c r="CE6" s="34">
        <f t="shared" si="74"/>
        <v>0</v>
      </c>
      <c r="CF6" s="34">
        <f t="shared" si="75"/>
        <v>0</v>
      </c>
      <c r="CG6" s="32">
        <f t="shared" si="76"/>
        <v>0</v>
      </c>
      <c r="CH6" s="34">
        <f t="shared" si="77"/>
        <v>0</v>
      </c>
      <c r="CI6" s="35">
        <f t="shared" si="78"/>
        <v>0</v>
      </c>
      <c r="CJ6" s="32">
        <f t="shared" si="1"/>
        <v>26555</v>
      </c>
      <c r="CK6" s="32">
        <f t="shared" si="2"/>
        <v>469</v>
      </c>
      <c r="CL6" s="32">
        <f t="shared" si="3"/>
        <v>3189</v>
      </c>
      <c r="CM6" s="32">
        <f t="shared" si="4"/>
        <v>1263</v>
      </c>
      <c r="CN6" s="32">
        <f t="shared" si="5"/>
        <v>978</v>
      </c>
      <c r="CO6" s="32">
        <f t="shared" si="6"/>
        <v>2211</v>
      </c>
      <c r="CP6" s="32">
        <f t="shared" si="7"/>
        <v>22897</v>
      </c>
    </row>
    <row r="7" spans="1:94">
      <c r="A7" s="186" t="s">
        <v>87</v>
      </c>
      <c r="B7" s="180" t="s">
        <v>109</v>
      </c>
      <c r="C7" s="181" t="s">
        <v>130</v>
      </c>
      <c r="D7" s="181">
        <v>3150</v>
      </c>
      <c r="E7" s="34">
        <f t="shared" si="8"/>
        <v>56</v>
      </c>
      <c r="F7" s="34">
        <f t="shared" si="9"/>
        <v>378</v>
      </c>
      <c r="G7" s="34">
        <f t="shared" si="10"/>
        <v>150</v>
      </c>
      <c r="H7" s="32">
        <f t="shared" si="11"/>
        <v>116</v>
      </c>
      <c r="I7" s="34">
        <f t="shared" si="12"/>
        <v>262</v>
      </c>
      <c r="J7" s="35">
        <f t="shared" si="13"/>
        <v>2716</v>
      </c>
      <c r="K7" s="181">
        <v>3171</v>
      </c>
      <c r="L7" s="34">
        <f t="shared" si="14"/>
        <v>56</v>
      </c>
      <c r="M7" s="34">
        <f t="shared" si="0"/>
        <v>381</v>
      </c>
      <c r="N7" s="34">
        <f t="shared" si="15"/>
        <v>151</v>
      </c>
      <c r="O7" s="32">
        <f t="shared" si="16"/>
        <v>117</v>
      </c>
      <c r="P7" s="34">
        <f t="shared" si="17"/>
        <v>264</v>
      </c>
      <c r="Q7" s="35">
        <f t="shared" si="18"/>
        <v>2734</v>
      </c>
      <c r="R7" s="181">
        <v>3171</v>
      </c>
      <c r="S7" s="34">
        <f t="shared" si="19"/>
        <v>56</v>
      </c>
      <c r="T7" s="34">
        <f t="shared" si="20"/>
        <v>381</v>
      </c>
      <c r="U7" s="34">
        <f t="shared" si="21"/>
        <v>151</v>
      </c>
      <c r="V7" s="32">
        <f t="shared" si="22"/>
        <v>117</v>
      </c>
      <c r="W7" s="34">
        <f t="shared" si="23"/>
        <v>264</v>
      </c>
      <c r="X7" s="35">
        <f t="shared" si="24"/>
        <v>2734</v>
      </c>
      <c r="Y7" s="181">
        <v>3322</v>
      </c>
      <c r="Z7" s="34">
        <f t="shared" si="25"/>
        <v>59</v>
      </c>
      <c r="AA7" s="34">
        <f t="shared" si="26"/>
        <v>399</v>
      </c>
      <c r="AB7" s="34">
        <f t="shared" si="27"/>
        <v>158</v>
      </c>
      <c r="AC7" s="32">
        <f t="shared" si="28"/>
        <v>122</v>
      </c>
      <c r="AD7" s="34">
        <f t="shared" si="29"/>
        <v>277</v>
      </c>
      <c r="AE7" s="35">
        <f t="shared" si="30"/>
        <v>2864</v>
      </c>
      <c r="AF7" s="181">
        <v>0</v>
      </c>
      <c r="AG7" s="34">
        <f t="shared" si="31"/>
        <v>0</v>
      </c>
      <c r="AH7" s="34">
        <f t="shared" si="32"/>
        <v>0</v>
      </c>
      <c r="AI7" s="34">
        <f t="shared" si="33"/>
        <v>0</v>
      </c>
      <c r="AJ7" s="32">
        <f t="shared" si="34"/>
        <v>0</v>
      </c>
      <c r="AK7" s="34">
        <f t="shared" si="35"/>
        <v>0</v>
      </c>
      <c r="AL7" s="35">
        <f t="shared" si="36"/>
        <v>0</v>
      </c>
      <c r="AM7" s="181">
        <v>0</v>
      </c>
      <c r="AN7" s="34">
        <f t="shared" si="37"/>
        <v>0</v>
      </c>
      <c r="AO7" s="34">
        <f t="shared" si="38"/>
        <v>0</v>
      </c>
      <c r="AP7" s="34">
        <f t="shared" si="39"/>
        <v>0</v>
      </c>
      <c r="AQ7" s="32">
        <f t="shared" si="40"/>
        <v>0</v>
      </c>
      <c r="AR7" s="34">
        <f t="shared" si="41"/>
        <v>0</v>
      </c>
      <c r="AS7" s="35">
        <f t="shared" si="42"/>
        <v>0</v>
      </c>
      <c r="AT7" s="181">
        <v>0</v>
      </c>
      <c r="AU7" s="34">
        <f t="shared" si="43"/>
        <v>0</v>
      </c>
      <c r="AV7" s="34">
        <f t="shared" si="44"/>
        <v>0</v>
      </c>
      <c r="AW7" s="34">
        <f t="shared" si="45"/>
        <v>0</v>
      </c>
      <c r="AX7" s="32">
        <f t="shared" si="46"/>
        <v>0</v>
      </c>
      <c r="AY7" s="34">
        <f t="shared" si="47"/>
        <v>0</v>
      </c>
      <c r="AZ7" s="35">
        <f t="shared" si="48"/>
        <v>0</v>
      </c>
      <c r="BA7" s="181">
        <v>3322</v>
      </c>
      <c r="BB7" s="34">
        <f t="shared" si="49"/>
        <v>59</v>
      </c>
      <c r="BC7" s="34">
        <f t="shared" si="50"/>
        <v>399</v>
      </c>
      <c r="BD7" s="34">
        <f t="shared" si="51"/>
        <v>158</v>
      </c>
      <c r="BE7" s="32">
        <f t="shared" si="52"/>
        <v>122</v>
      </c>
      <c r="BF7" s="34">
        <f t="shared" si="53"/>
        <v>277</v>
      </c>
      <c r="BG7" s="35">
        <f t="shared" si="54"/>
        <v>2864</v>
      </c>
      <c r="BH7" s="181"/>
      <c r="BI7" s="34">
        <f t="shared" si="55"/>
        <v>0</v>
      </c>
      <c r="BJ7" s="34">
        <f t="shared" si="56"/>
        <v>0</v>
      </c>
      <c r="BK7" s="34">
        <f t="shared" si="57"/>
        <v>0</v>
      </c>
      <c r="BL7" s="32">
        <f t="shared" si="58"/>
        <v>0</v>
      </c>
      <c r="BM7" s="34">
        <f t="shared" si="59"/>
        <v>0</v>
      </c>
      <c r="BN7" s="35">
        <f t="shared" si="60"/>
        <v>0</v>
      </c>
      <c r="BO7" s="181"/>
      <c r="BP7" s="34">
        <f t="shared" si="61"/>
        <v>0</v>
      </c>
      <c r="BQ7" s="34">
        <f t="shared" si="62"/>
        <v>0</v>
      </c>
      <c r="BR7" s="34">
        <f t="shared" si="63"/>
        <v>0</v>
      </c>
      <c r="BS7" s="32">
        <f t="shared" si="64"/>
        <v>0</v>
      </c>
      <c r="BT7" s="34">
        <f t="shared" si="65"/>
        <v>0</v>
      </c>
      <c r="BU7" s="35">
        <f t="shared" si="66"/>
        <v>0</v>
      </c>
      <c r="BV7" s="181"/>
      <c r="BW7" s="34">
        <f t="shared" si="67"/>
        <v>0</v>
      </c>
      <c r="BX7" s="34">
        <f t="shared" si="68"/>
        <v>0</v>
      </c>
      <c r="BY7" s="34">
        <f t="shared" si="69"/>
        <v>0</v>
      </c>
      <c r="BZ7" s="32">
        <f t="shared" si="70"/>
        <v>0</v>
      </c>
      <c r="CA7" s="34">
        <f t="shared" si="71"/>
        <v>0</v>
      </c>
      <c r="CB7" s="35">
        <f t="shared" si="72"/>
        <v>0</v>
      </c>
      <c r="CC7" s="181"/>
      <c r="CD7" s="34">
        <f t="shared" si="73"/>
        <v>0</v>
      </c>
      <c r="CE7" s="34">
        <f t="shared" si="74"/>
        <v>0</v>
      </c>
      <c r="CF7" s="34">
        <f t="shared" si="75"/>
        <v>0</v>
      </c>
      <c r="CG7" s="32">
        <f t="shared" si="76"/>
        <v>0</v>
      </c>
      <c r="CH7" s="34">
        <f t="shared" si="77"/>
        <v>0</v>
      </c>
      <c r="CI7" s="35">
        <f t="shared" si="78"/>
        <v>0</v>
      </c>
      <c r="CJ7" s="32">
        <f t="shared" si="1"/>
        <v>16136</v>
      </c>
      <c r="CK7" s="32">
        <f t="shared" si="2"/>
        <v>286</v>
      </c>
      <c r="CL7" s="32">
        <f t="shared" si="3"/>
        <v>1938</v>
      </c>
      <c r="CM7" s="32">
        <f t="shared" si="4"/>
        <v>768</v>
      </c>
      <c r="CN7" s="32">
        <f t="shared" si="5"/>
        <v>594</v>
      </c>
      <c r="CO7" s="32">
        <f t="shared" si="6"/>
        <v>1344</v>
      </c>
      <c r="CP7" s="32">
        <f t="shared" si="7"/>
        <v>13912</v>
      </c>
    </row>
    <row r="8" spans="1:94">
      <c r="A8" s="186" t="s">
        <v>88</v>
      </c>
      <c r="B8" s="180" t="s">
        <v>110</v>
      </c>
      <c r="C8" s="181" t="s">
        <v>129</v>
      </c>
      <c r="D8" s="181">
        <v>3150</v>
      </c>
      <c r="E8" s="34">
        <f t="shared" si="8"/>
        <v>56</v>
      </c>
      <c r="F8" s="34">
        <f t="shared" si="9"/>
        <v>378</v>
      </c>
      <c r="G8" s="34">
        <f t="shared" si="10"/>
        <v>150</v>
      </c>
      <c r="H8" s="32">
        <f t="shared" si="11"/>
        <v>116</v>
      </c>
      <c r="I8" s="34">
        <f t="shared" si="12"/>
        <v>262</v>
      </c>
      <c r="J8" s="35">
        <f t="shared" si="13"/>
        <v>2716</v>
      </c>
      <c r="K8" s="181">
        <v>3020</v>
      </c>
      <c r="L8" s="34">
        <f t="shared" si="14"/>
        <v>53</v>
      </c>
      <c r="M8" s="34">
        <f t="shared" si="0"/>
        <v>363</v>
      </c>
      <c r="N8" s="34">
        <f t="shared" si="15"/>
        <v>144</v>
      </c>
      <c r="O8" s="32">
        <f t="shared" si="16"/>
        <v>111</v>
      </c>
      <c r="P8" s="34">
        <f t="shared" si="17"/>
        <v>252</v>
      </c>
      <c r="Q8" s="35">
        <f t="shared" si="18"/>
        <v>2604</v>
      </c>
      <c r="R8" s="181">
        <v>3171</v>
      </c>
      <c r="S8" s="34">
        <f t="shared" si="19"/>
        <v>56</v>
      </c>
      <c r="T8" s="34">
        <f t="shared" si="20"/>
        <v>381</v>
      </c>
      <c r="U8" s="34">
        <f t="shared" si="21"/>
        <v>151</v>
      </c>
      <c r="V8" s="32">
        <f t="shared" si="22"/>
        <v>117</v>
      </c>
      <c r="W8" s="34">
        <f t="shared" si="23"/>
        <v>264</v>
      </c>
      <c r="X8" s="35">
        <f t="shared" si="24"/>
        <v>2734</v>
      </c>
      <c r="Y8" s="181">
        <v>3322</v>
      </c>
      <c r="Z8" s="34">
        <f t="shared" si="25"/>
        <v>59</v>
      </c>
      <c r="AA8" s="34">
        <f t="shared" si="26"/>
        <v>399</v>
      </c>
      <c r="AB8" s="34">
        <f t="shared" si="27"/>
        <v>158</v>
      </c>
      <c r="AC8" s="32">
        <f t="shared" si="28"/>
        <v>122</v>
      </c>
      <c r="AD8" s="34">
        <f t="shared" si="29"/>
        <v>277</v>
      </c>
      <c r="AE8" s="35">
        <f t="shared" si="30"/>
        <v>2864</v>
      </c>
      <c r="AF8" s="181">
        <v>3322</v>
      </c>
      <c r="AG8" s="34">
        <f t="shared" si="31"/>
        <v>59</v>
      </c>
      <c r="AH8" s="34">
        <f t="shared" si="32"/>
        <v>399</v>
      </c>
      <c r="AI8" s="34">
        <f t="shared" si="33"/>
        <v>158</v>
      </c>
      <c r="AJ8" s="32">
        <f t="shared" si="34"/>
        <v>122</v>
      </c>
      <c r="AK8" s="34">
        <f t="shared" si="35"/>
        <v>277</v>
      </c>
      <c r="AL8" s="35">
        <f t="shared" si="36"/>
        <v>2864</v>
      </c>
      <c r="AM8" s="181">
        <v>3473</v>
      </c>
      <c r="AN8" s="34">
        <f t="shared" si="37"/>
        <v>61</v>
      </c>
      <c r="AO8" s="34">
        <f t="shared" si="38"/>
        <v>417</v>
      </c>
      <c r="AP8" s="34">
        <f t="shared" si="39"/>
        <v>165</v>
      </c>
      <c r="AQ8" s="32">
        <f t="shared" si="40"/>
        <v>128</v>
      </c>
      <c r="AR8" s="34">
        <f t="shared" si="41"/>
        <v>289</v>
      </c>
      <c r="AS8" s="35">
        <f t="shared" si="42"/>
        <v>2995</v>
      </c>
      <c r="AT8" s="181">
        <v>3473</v>
      </c>
      <c r="AU8" s="34">
        <f t="shared" si="43"/>
        <v>61</v>
      </c>
      <c r="AV8" s="34">
        <f t="shared" si="44"/>
        <v>417</v>
      </c>
      <c r="AW8" s="34">
        <f t="shared" si="45"/>
        <v>165</v>
      </c>
      <c r="AX8" s="32">
        <f t="shared" si="46"/>
        <v>128</v>
      </c>
      <c r="AY8" s="34">
        <f t="shared" si="47"/>
        <v>289</v>
      </c>
      <c r="AZ8" s="35">
        <f t="shared" si="48"/>
        <v>2995</v>
      </c>
      <c r="BA8" s="181">
        <v>3322</v>
      </c>
      <c r="BB8" s="34">
        <f t="shared" si="49"/>
        <v>59</v>
      </c>
      <c r="BC8" s="34">
        <f t="shared" si="50"/>
        <v>399</v>
      </c>
      <c r="BD8" s="34">
        <f t="shared" si="51"/>
        <v>158</v>
      </c>
      <c r="BE8" s="32">
        <f t="shared" si="52"/>
        <v>122</v>
      </c>
      <c r="BF8" s="34">
        <f t="shared" si="53"/>
        <v>277</v>
      </c>
      <c r="BG8" s="35">
        <f t="shared" si="54"/>
        <v>2864</v>
      </c>
      <c r="BH8" s="181"/>
      <c r="BI8" s="34">
        <f t="shared" si="55"/>
        <v>0</v>
      </c>
      <c r="BJ8" s="34">
        <f t="shared" si="56"/>
        <v>0</v>
      </c>
      <c r="BK8" s="34">
        <f t="shared" si="57"/>
        <v>0</v>
      </c>
      <c r="BL8" s="32">
        <f t="shared" si="58"/>
        <v>0</v>
      </c>
      <c r="BM8" s="34">
        <f t="shared" si="59"/>
        <v>0</v>
      </c>
      <c r="BN8" s="35">
        <f t="shared" si="60"/>
        <v>0</v>
      </c>
      <c r="BO8" s="181"/>
      <c r="BP8" s="34">
        <f t="shared" si="61"/>
        <v>0</v>
      </c>
      <c r="BQ8" s="34">
        <f t="shared" si="62"/>
        <v>0</v>
      </c>
      <c r="BR8" s="34">
        <f t="shared" si="63"/>
        <v>0</v>
      </c>
      <c r="BS8" s="32">
        <f t="shared" si="64"/>
        <v>0</v>
      </c>
      <c r="BT8" s="34">
        <f t="shared" si="65"/>
        <v>0</v>
      </c>
      <c r="BU8" s="35">
        <f t="shared" si="66"/>
        <v>0</v>
      </c>
      <c r="BV8" s="181"/>
      <c r="BW8" s="34">
        <f t="shared" si="67"/>
        <v>0</v>
      </c>
      <c r="BX8" s="34">
        <f t="shared" si="68"/>
        <v>0</v>
      </c>
      <c r="BY8" s="34">
        <f t="shared" si="69"/>
        <v>0</v>
      </c>
      <c r="BZ8" s="32">
        <f t="shared" si="70"/>
        <v>0</v>
      </c>
      <c r="CA8" s="34">
        <f t="shared" si="71"/>
        <v>0</v>
      </c>
      <c r="CB8" s="35">
        <f t="shared" si="72"/>
        <v>0</v>
      </c>
      <c r="CC8" s="181"/>
      <c r="CD8" s="34">
        <f t="shared" si="73"/>
        <v>0</v>
      </c>
      <c r="CE8" s="34">
        <f t="shared" si="74"/>
        <v>0</v>
      </c>
      <c r="CF8" s="34">
        <f t="shared" si="75"/>
        <v>0</v>
      </c>
      <c r="CG8" s="32">
        <f t="shared" si="76"/>
        <v>0</v>
      </c>
      <c r="CH8" s="34">
        <f t="shared" si="77"/>
        <v>0</v>
      </c>
      <c r="CI8" s="35">
        <f t="shared" si="78"/>
        <v>0</v>
      </c>
      <c r="CJ8" s="32">
        <f t="shared" si="1"/>
        <v>26253</v>
      </c>
      <c r="CK8" s="32">
        <f t="shared" si="2"/>
        <v>464</v>
      </c>
      <c r="CL8" s="32">
        <f t="shared" si="3"/>
        <v>3153</v>
      </c>
      <c r="CM8" s="32">
        <f t="shared" si="4"/>
        <v>1249</v>
      </c>
      <c r="CN8" s="32">
        <f t="shared" si="5"/>
        <v>966</v>
      </c>
      <c r="CO8" s="32">
        <f t="shared" si="6"/>
        <v>2187</v>
      </c>
      <c r="CP8" s="32">
        <f t="shared" si="7"/>
        <v>22636</v>
      </c>
    </row>
    <row r="9" spans="1:94">
      <c r="A9" s="186" t="s">
        <v>89</v>
      </c>
      <c r="B9" s="180" t="s">
        <v>111</v>
      </c>
      <c r="C9" s="181" t="s">
        <v>128</v>
      </c>
      <c r="D9" s="181">
        <v>3200</v>
      </c>
      <c r="E9" s="34">
        <f t="shared" si="8"/>
        <v>56</v>
      </c>
      <c r="F9" s="34">
        <f t="shared" si="9"/>
        <v>384</v>
      </c>
      <c r="G9" s="34">
        <f t="shared" si="10"/>
        <v>152</v>
      </c>
      <c r="H9" s="32">
        <f t="shared" si="11"/>
        <v>117</v>
      </c>
      <c r="I9" s="34">
        <f t="shared" si="12"/>
        <v>267</v>
      </c>
      <c r="J9" s="35">
        <f t="shared" si="13"/>
        <v>2760</v>
      </c>
      <c r="K9" s="181">
        <v>3171</v>
      </c>
      <c r="L9" s="34">
        <f t="shared" si="14"/>
        <v>56</v>
      </c>
      <c r="M9" s="34">
        <f t="shared" si="0"/>
        <v>381</v>
      </c>
      <c r="N9" s="34">
        <f t="shared" si="15"/>
        <v>151</v>
      </c>
      <c r="O9" s="32">
        <f t="shared" si="16"/>
        <v>117</v>
      </c>
      <c r="P9" s="34">
        <f t="shared" si="17"/>
        <v>264</v>
      </c>
      <c r="Q9" s="35">
        <f t="shared" si="18"/>
        <v>2734</v>
      </c>
      <c r="R9" s="181">
        <v>3171</v>
      </c>
      <c r="S9" s="34">
        <f t="shared" si="19"/>
        <v>56</v>
      </c>
      <c r="T9" s="34">
        <f t="shared" si="20"/>
        <v>381</v>
      </c>
      <c r="U9" s="34">
        <f t="shared" si="21"/>
        <v>151</v>
      </c>
      <c r="V9" s="32">
        <f t="shared" si="22"/>
        <v>117</v>
      </c>
      <c r="W9" s="34">
        <f t="shared" si="23"/>
        <v>264</v>
      </c>
      <c r="X9" s="35">
        <f t="shared" si="24"/>
        <v>2734</v>
      </c>
      <c r="Y9" s="181">
        <v>3322</v>
      </c>
      <c r="Z9" s="34">
        <f t="shared" si="25"/>
        <v>59</v>
      </c>
      <c r="AA9" s="34">
        <f t="shared" si="26"/>
        <v>399</v>
      </c>
      <c r="AB9" s="34">
        <f t="shared" si="27"/>
        <v>158</v>
      </c>
      <c r="AC9" s="32">
        <f t="shared" si="28"/>
        <v>122</v>
      </c>
      <c r="AD9" s="34">
        <f t="shared" si="29"/>
        <v>277</v>
      </c>
      <c r="AE9" s="35">
        <f t="shared" si="30"/>
        <v>2864</v>
      </c>
      <c r="AF9" s="181">
        <v>3473</v>
      </c>
      <c r="AG9" s="34">
        <f t="shared" si="31"/>
        <v>61</v>
      </c>
      <c r="AH9" s="34">
        <f t="shared" si="32"/>
        <v>417</v>
      </c>
      <c r="AI9" s="34">
        <f t="shared" si="33"/>
        <v>165</v>
      </c>
      <c r="AJ9" s="32">
        <f t="shared" si="34"/>
        <v>128</v>
      </c>
      <c r="AK9" s="34">
        <f t="shared" si="35"/>
        <v>289</v>
      </c>
      <c r="AL9" s="35">
        <f t="shared" si="36"/>
        <v>2995</v>
      </c>
      <c r="AM9" s="181">
        <v>3473</v>
      </c>
      <c r="AN9" s="34">
        <f t="shared" si="37"/>
        <v>61</v>
      </c>
      <c r="AO9" s="34">
        <f t="shared" si="38"/>
        <v>417</v>
      </c>
      <c r="AP9" s="34">
        <f t="shared" si="39"/>
        <v>165</v>
      </c>
      <c r="AQ9" s="32">
        <f t="shared" si="40"/>
        <v>128</v>
      </c>
      <c r="AR9" s="34">
        <f t="shared" si="41"/>
        <v>289</v>
      </c>
      <c r="AS9" s="35">
        <f t="shared" si="42"/>
        <v>2995</v>
      </c>
      <c r="AT9" s="181">
        <v>3473</v>
      </c>
      <c r="AU9" s="34">
        <f t="shared" si="43"/>
        <v>61</v>
      </c>
      <c r="AV9" s="34">
        <f t="shared" si="44"/>
        <v>417</v>
      </c>
      <c r="AW9" s="34">
        <f t="shared" si="45"/>
        <v>165</v>
      </c>
      <c r="AX9" s="32">
        <f t="shared" si="46"/>
        <v>128</v>
      </c>
      <c r="AY9" s="34">
        <f t="shared" si="47"/>
        <v>289</v>
      </c>
      <c r="AZ9" s="35">
        <f t="shared" si="48"/>
        <v>2995</v>
      </c>
      <c r="BA9" s="181">
        <v>3322</v>
      </c>
      <c r="BB9" s="34">
        <f t="shared" si="49"/>
        <v>59</v>
      </c>
      <c r="BC9" s="34">
        <f t="shared" si="50"/>
        <v>399</v>
      </c>
      <c r="BD9" s="34">
        <f t="shared" si="51"/>
        <v>158</v>
      </c>
      <c r="BE9" s="32">
        <f t="shared" si="52"/>
        <v>122</v>
      </c>
      <c r="BF9" s="34">
        <f t="shared" si="53"/>
        <v>277</v>
      </c>
      <c r="BG9" s="35">
        <f t="shared" si="54"/>
        <v>2864</v>
      </c>
      <c r="BH9" s="181"/>
      <c r="BI9" s="34">
        <f t="shared" si="55"/>
        <v>0</v>
      </c>
      <c r="BJ9" s="34">
        <f t="shared" si="56"/>
        <v>0</v>
      </c>
      <c r="BK9" s="34">
        <f t="shared" si="57"/>
        <v>0</v>
      </c>
      <c r="BL9" s="32">
        <f t="shared" si="58"/>
        <v>0</v>
      </c>
      <c r="BM9" s="34">
        <f t="shared" si="59"/>
        <v>0</v>
      </c>
      <c r="BN9" s="35">
        <f t="shared" si="60"/>
        <v>0</v>
      </c>
      <c r="BO9" s="181"/>
      <c r="BP9" s="34">
        <f t="shared" si="61"/>
        <v>0</v>
      </c>
      <c r="BQ9" s="34">
        <f t="shared" si="62"/>
        <v>0</v>
      </c>
      <c r="BR9" s="34">
        <f t="shared" si="63"/>
        <v>0</v>
      </c>
      <c r="BS9" s="32">
        <f t="shared" si="64"/>
        <v>0</v>
      </c>
      <c r="BT9" s="34">
        <f t="shared" si="65"/>
        <v>0</v>
      </c>
      <c r="BU9" s="35">
        <f t="shared" si="66"/>
        <v>0</v>
      </c>
      <c r="BV9" s="181"/>
      <c r="BW9" s="34">
        <f t="shared" si="67"/>
        <v>0</v>
      </c>
      <c r="BX9" s="34">
        <f t="shared" si="68"/>
        <v>0</v>
      </c>
      <c r="BY9" s="34">
        <f t="shared" si="69"/>
        <v>0</v>
      </c>
      <c r="BZ9" s="32">
        <f t="shared" si="70"/>
        <v>0</v>
      </c>
      <c r="CA9" s="34">
        <f t="shared" si="71"/>
        <v>0</v>
      </c>
      <c r="CB9" s="35">
        <f t="shared" si="72"/>
        <v>0</v>
      </c>
      <c r="CC9" s="181"/>
      <c r="CD9" s="34">
        <f t="shared" si="73"/>
        <v>0</v>
      </c>
      <c r="CE9" s="34">
        <f t="shared" si="74"/>
        <v>0</v>
      </c>
      <c r="CF9" s="34">
        <f t="shared" si="75"/>
        <v>0</v>
      </c>
      <c r="CG9" s="32">
        <f t="shared" si="76"/>
        <v>0</v>
      </c>
      <c r="CH9" s="34">
        <f t="shared" si="77"/>
        <v>0</v>
      </c>
      <c r="CI9" s="35">
        <f t="shared" si="78"/>
        <v>0</v>
      </c>
      <c r="CJ9" s="32">
        <f t="shared" si="1"/>
        <v>26605</v>
      </c>
      <c r="CK9" s="32">
        <f t="shared" si="2"/>
        <v>469</v>
      </c>
      <c r="CL9" s="32">
        <f t="shared" si="3"/>
        <v>3195</v>
      </c>
      <c r="CM9" s="32">
        <f t="shared" si="4"/>
        <v>1265</v>
      </c>
      <c r="CN9" s="32">
        <f t="shared" si="5"/>
        <v>979</v>
      </c>
      <c r="CO9" s="32">
        <f t="shared" si="6"/>
        <v>2216</v>
      </c>
      <c r="CP9" s="32">
        <f t="shared" si="7"/>
        <v>22941</v>
      </c>
    </row>
    <row r="10" spans="1:94">
      <c r="A10" s="186" t="s">
        <v>90</v>
      </c>
      <c r="B10" s="180" t="s">
        <v>112</v>
      </c>
      <c r="C10" s="181" t="s">
        <v>127</v>
      </c>
      <c r="D10" s="181">
        <v>3150</v>
      </c>
      <c r="E10" s="34">
        <f t="shared" si="8"/>
        <v>56</v>
      </c>
      <c r="F10" s="34">
        <f t="shared" si="9"/>
        <v>378</v>
      </c>
      <c r="G10" s="34">
        <f t="shared" si="10"/>
        <v>150</v>
      </c>
      <c r="H10" s="32">
        <f t="shared" si="11"/>
        <v>116</v>
      </c>
      <c r="I10" s="34">
        <f t="shared" si="12"/>
        <v>262</v>
      </c>
      <c r="J10" s="35">
        <f t="shared" si="13"/>
        <v>2716</v>
      </c>
      <c r="K10" s="181">
        <v>3171</v>
      </c>
      <c r="L10" s="34">
        <f t="shared" si="14"/>
        <v>56</v>
      </c>
      <c r="M10" s="34">
        <f t="shared" si="0"/>
        <v>381</v>
      </c>
      <c r="N10" s="34">
        <f t="shared" si="15"/>
        <v>151</v>
      </c>
      <c r="O10" s="32">
        <f t="shared" si="16"/>
        <v>117</v>
      </c>
      <c r="P10" s="34">
        <f t="shared" si="17"/>
        <v>264</v>
      </c>
      <c r="Q10" s="35">
        <f t="shared" si="18"/>
        <v>2734</v>
      </c>
      <c r="R10" s="181">
        <v>3171</v>
      </c>
      <c r="S10" s="34">
        <f t="shared" si="19"/>
        <v>56</v>
      </c>
      <c r="T10" s="34">
        <f t="shared" si="20"/>
        <v>381</v>
      </c>
      <c r="U10" s="34">
        <f t="shared" si="21"/>
        <v>151</v>
      </c>
      <c r="V10" s="32">
        <f t="shared" si="22"/>
        <v>117</v>
      </c>
      <c r="W10" s="34">
        <f t="shared" si="23"/>
        <v>264</v>
      </c>
      <c r="X10" s="35">
        <f t="shared" si="24"/>
        <v>2734</v>
      </c>
      <c r="Y10" s="181">
        <v>3322</v>
      </c>
      <c r="Z10" s="34">
        <f t="shared" si="25"/>
        <v>59</v>
      </c>
      <c r="AA10" s="34">
        <f t="shared" si="26"/>
        <v>399</v>
      </c>
      <c r="AB10" s="34">
        <f t="shared" si="27"/>
        <v>158</v>
      </c>
      <c r="AC10" s="32">
        <f t="shared" si="28"/>
        <v>122</v>
      </c>
      <c r="AD10" s="34">
        <f t="shared" si="29"/>
        <v>277</v>
      </c>
      <c r="AE10" s="35">
        <f t="shared" si="30"/>
        <v>2864</v>
      </c>
      <c r="AF10" s="181">
        <v>3473</v>
      </c>
      <c r="AG10" s="34">
        <f t="shared" si="31"/>
        <v>61</v>
      </c>
      <c r="AH10" s="34">
        <f t="shared" si="32"/>
        <v>417</v>
      </c>
      <c r="AI10" s="34">
        <f t="shared" si="33"/>
        <v>165</v>
      </c>
      <c r="AJ10" s="32">
        <f t="shared" si="34"/>
        <v>128</v>
      </c>
      <c r="AK10" s="34">
        <f t="shared" si="35"/>
        <v>289</v>
      </c>
      <c r="AL10" s="35">
        <f t="shared" si="36"/>
        <v>2995</v>
      </c>
      <c r="AM10" s="181">
        <v>3473</v>
      </c>
      <c r="AN10" s="34">
        <f t="shared" si="37"/>
        <v>61</v>
      </c>
      <c r="AO10" s="34">
        <f t="shared" si="38"/>
        <v>417</v>
      </c>
      <c r="AP10" s="34">
        <f t="shared" si="39"/>
        <v>165</v>
      </c>
      <c r="AQ10" s="32">
        <f t="shared" si="40"/>
        <v>128</v>
      </c>
      <c r="AR10" s="34">
        <f t="shared" si="41"/>
        <v>289</v>
      </c>
      <c r="AS10" s="35">
        <f t="shared" si="42"/>
        <v>2995</v>
      </c>
      <c r="AT10" s="181">
        <v>3473</v>
      </c>
      <c r="AU10" s="34">
        <f t="shared" si="43"/>
        <v>61</v>
      </c>
      <c r="AV10" s="34">
        <f t="shared" si="44"/>
        <v>417</v>
      </c>
      <c r="AW10" s="34">
        <f t="shared" si="45"/>
        <v>165</v>
      </c>
      <c r="AX10" s="32">
        <f t="shared" si="46"/>
        <v>128</v>
      </c>
      <c r="AY10" s="34">
        <f t="shared" si="47"/>
        <v>289</v>
      </c>
      <c r="AZ10" s="35">
        <f t="shared" si="48"/>
        <v>2995</v>
      </c>
      <c r="BA10" s="181">
        <v>3322</v>
      </c>
      <c r="BB10" s="34">
        <f t="shared" si="49"/>
        <v>59</v>
      </c>
      <c r="BC10" s="34">
        <f t="shared" si="50"/>
        <v>399</v>
      </c>
      <c r="BD10" s="34">
        <f t="shared" si="51"/>
        <v>158</v>
      </c>
      <c r="BE10" s="32">
        <f t="shared" si="52"/>
        <v>122</v>
      </c>
      <c r="BF10" s="34">
        <f t="shared" si="53"/>
        <v>277</v>
      </c>
      <c r="BG10" s="35">
        <f t="shared" si="54"/>
        <v>2864</v>
      </c>
      <c r="BH10" s="181"/>
      <c r="BI10" s="34">
        <f t="shared" si="55"/>
        <v>0</v>
      </c>
      <c r="BJ10" s="34">
        <f t="shared" si="56"/>
        <v>0</v>
      </c>
      <c r="BK10" s="34">
        <f t="shared" si="57"/>
        <v>0</v>
      </c>
      <c r="BL10" s="32">
        <f t="shared" si="58"/>
        <v>0</v>
      </c>
      <c r="BM10" s="34">
        <f t="shared" si="59"/>
        <v>0</v>
      </c>
      <c r="BN10" s="35">
        <f t="shared" si="60"/>
        <v>0</v>
      </c>
      <c r="BO10" s="181"/>
      <c r="BP10" s="34">
        <f t="shared" si="61"/>
        <v>0</v>
      </c>
      <c r="BQ10" s="34">
        <f t="shared" si="62"/>
        <v>0</v>
      </c>
      <c r="BR10" s="34">
        <f t="shared" si="63"/>
        <v>0</v>
      </c>
      <c r="BS10" s="32">
        <f t="shared" si="64"/>
        <v>0</v>
      </c>
      <c r="BT10" s="34">
        <f t="shared" si="65"/>
        <v>0</v>
      </c>
      <c r="BU10" s="35">
        <f t="shared" si="66"/>
        <v>0</v>
      </c>
      <c r="BV10" s="181"/>
      <c r="BW10" s="34">
        <f t="shared" si="67"/>
        <v>0</v>
      </c>
      <c r="BX10" s="34">
        <f t="shared" si="68"/>
        <v>0</v>
      </c>
      <c r="BY10" s="34">
        <f t="shared" si="69"/>
        <v>0</v>
      </c>
      <c r="BZ10" s="32">
        <f t="shared" si="70"/>
        <v>0</v>
      </c>
      <c r="CA10" s="34">
        <f t="shared" si="71"/>
        <v>0</v>
      </c>
      <c r="CB10" s="35">
        <f t="shared" si="72"/>
        <v>0</v>
      </c>
      <c r="CC10" s="181"/>
      <c r="CD10" s="34">
        <f t="shared" si="73"/>
        <v>0</v>
      </c>
      <c r="CE10" s="34">
        <f t="shared" si="74"/>
        <v>0</v>
      </c>
      <c r="CF10" s="34">
        <f t="shared" si="75"/>
        <v>0</v>
      </c>
      <c r="CG10" s="32">
        <f t="shared" si="76"/>
        <v>0</v>
      </c>
      <c r="CH10" s="34">
        <f t="shared" si="77"/>
        <v>0</v>
      </c>
      <c r="CI10" s="35">
        <f t="shared" si="78"/>
        <v>0</v>
      </c>
      <c r="CJ10" s="32">
        <f t="shared" si="1"/>
        <v>26555</v>
      </c>
      <c r="CK10" s="32">
        <f t="shared" si="2"/>
        <v>469</v>
      </c>
      <c r="CL10" s="32">
        <f t="shared" si="3"/>
        <v>3189</v>
      </c>
      <c r="CM10" s="32">
        <f t="shared" si="4"/>
        <v>1263</v>
      </c>
      <c r="CN10" s="32">
        <f t="shared" si="5"/>
        <v>978</v>
      </c>
      <c r="CO10" s="32">
        <f t="shared" si="6"/>
        <v>2211</v>
      </c>
      <c r="CP10" s="32">
        <f t="shared" si="7"/>
        <v>22897</v>
      </c>
    </row>
    <row r="11" spans="1:94">
      <c r="A11" s="186" t="s">
        <v>91</v>
      </c>
      <c r="B11" s="180" t="s">
        <v>113</v>
      </c>
      <c r="C11" s="181" t="s">
        <v>126</v>
      </c>
      <c r="D11" s="181">
        <v>3150</v>
      </c>
      <c r="E11" s="34">
        <f t="shared" si="8"/>
        <v>56</v>
      </c>
      <c r="F11" s="34">
        <f t="shared" si="9"/>
        <v>378</v>
      </c>
      <c r="G11" s="34">
        <f t="shared" si="10"/>
        <v>150</v>
      </c>
      <c r="H11" s="32">
        <f t="shared" si="11"/>
        <v>116</v>
      </c>
      <c r="I11" s="34">
        <f t="shared" si="12"/>
        <v>262</v>
      </c>
      <c r="J11" s="35">
        <f t="shared" si="13"/>
        <v>2716</v>
      </c>
      <c r="K11" s="181">
        <v>3171</v>
      </c>
      <c r="L11" s="34">
        <f t="shared" si="14"/>
        <v>56</v>
      </c>
      <c r="M11" s="34">
        <f t="shared" si="0"/>
        <v>381</v>
      </c>
      <c r="N11" s="34">
        <f t="shared" si="15"/>
        <v>151</v>
      </c>
      <c r="O11" s="32">
        <f t="shared" si="16"/>
        <v>117</v>
      </c>
      <c r="P11" s="34">
        <f t="shared" si="17"/>
        <v>264</v>
      </c>
      <c r="Q11" s="35">
        <f t="shared" si="18"/>
        <v>2734</v>
      </c>
      <c r="R11" s="181">
        <v>3171</v>
      </c>
      <c r="S11" s="34">
        <f t="shared" si="19"/>
        <v>56</v>
      </c>
      <c r="T11" s="34">
        <f t="shared" si="20"/>
        <v>381</v>
      </c>
      <c r="U11" s="34">
        <f t="shared" si="21"/>
        <v>151</v>
      </c>
      <c r="V11" s="32">
        <f t="shared" si="22"/>
        <v>117</v>
      </c>
      <c r="W11" s="34">
        <f t="shared" si="23"/>
        <v>264</v>
      </c>
      <c r="X11" s="35">
        <f t="shared" si="24"/>
        <v>2734</v>
      </c>
      <c r="Y11" s="181">
        <v>3171</v>
      </c>
      <c r="Z11" s="34">
        <f t="shared" si="25"/>
        <v>56</v>
      </c>
      <c r="AA11" s="34">
        <f t="shared" si="26"/>
        <v>381</v>
      </c>
      <c r="AB11" s="34">
        <f t="shared" si="27"/>
        <v>151</v>
      </c>
      <c r="AC11" s="32">
        <f t="shared" si="28"/>
        <v>117</v>
      </c>
      <c r="AD11" s="34">
        <f t="shared" si="29"/>
        <v>264</v>
      </c>
      <c r="AE11" s="35">
        <f t="shared" si="30"/>
        <v>2734</v>
      </c>
      <c r="AF11" s="181">
        <v>3473</v>
      </c>
      <c r="AG11" s="34">
        <f t="shared" si="31"/>
        <v>61</v>
      </c>
      <c r="AH11" s="34">
        <f t="shared" si="32"/>
        <v>417</v>
      </c>
      <c r="AI11" s="34">
        <f t="shared" si="33"/>
        <v>165</v>
      </c>
      <c r="AJ11" s="32">
        <f t="shared" si="34"/>
        <v>128</v>
      </c>
      <c r="AK11" s="34">
        <f t="shared" si="35"/>
        <v>289</v>
      </c>
      <c r="AL11" s="35">
        <f t="shared" si="36"/>
        <v>2995</v>
      </c>
      <c r="AM11" s="181">
        <v>2416</v>
      </c>
      <c r="AN11" s="34">
        <f t="shared" si="37"/>
        <v>43</v>
      </c>
      <c r="AO11" s="34">
        <f t="shared" si="38"/>
        <v>290</v>
      </c>
      <c r="AP11" s="34">
        <f t="shared" si="39"/>
        <v>115</v>
      </c>
      <c r="AQ11" s="32">
        <f t="shared" si="40"/>
        <v>89</v>
      </c>
      <c r="AR11" s="34">
        <f t="shared" si="41"/>
        <v>201</v>
      </c>
      <c r="AS11" s="35">
        <f t="shared" si="42"/>
        <v>2083</v>
      </c>
      <c r="AT11" s="181">
        <v>3020</v>
      </c>
      <c r="AU11" s="34">
        <f t="shared" si="43"/>
        <v>53</v>
      </c>
      <c r="AV11" s="34">
        <f t="shared" si="44"/>
        <v>362</v>
      </c>
      <c r="AW11" s="34">
        <f t="shared" si="45"/>
        <v>144</v>
      </c>
      <c r="AX11" s="32">
        <f t="shared" si="46"/>
        <v>110</v>
      </c>
      <c r="AY11" s="34">
        <f t="shared" si="47"/>
        <v>252</v>
      </c>
      <c r="AZ11" s="35">
        <f t="shared" si="48"/>
        <v>2605</v>
      </c>
      <c r="BA11" s="181">
        <v>2114</v>
      </c>
      <c r="BB11" s="34">
        <f t="shared" si="49"/>
        <v>37</v>
      </c>
      <c r="BC11" s="34">
        <f t="shared" si="50"/>
        <v>254</v>
      </c>
      <c r="BD11" s="34">
        <f t="shared" si="51"/>
        <v>101</v>
      </c>
      <c r="BE11" s="32">
        <f t="shared" si="52"/>
        <v>78</v>
      </c>
      <c r="BF11" s="34">
        <f t="shared" si="53"/>
        <v>176</v>
      </c>
      <c r="BG11" s="35">
        <f t="shared" si="54"/>
        <v>1823</v>
      </c>
      <c r="BH11" s="181"/>
      <c r="BI11" s="34">
        <f t="shared" si="55"/>
        <v>0</v>
      </c>
      <c r="BJ11" s="34">
        <f t="shared" si="56"/>
        <v>0</v>
      </c>
      <c r="BK11" s="34">
        <f t="shared" si="57"/>
        <v>0</v>
      </c>
      <c r="BL11" s="32">
        <f t="shared" si="58"/>
        <v>0</v>
      </c>
      <c r="BM11" s="34">
        <f t="shared" si="59"/>
        <v>0</v>
      </c>
      <c r="BN11" s="35">
        <f t="shared" si="60"/>
        <v>0</v>
      </c>
      <c r="BO11" s="181"/>
      <c r="BP11" s="34">
        <f t="shared" si="61"/>
        <v>0</v>
      </c>
      <c r="BQ11" s="34">
        <f t="shared" si="62"/>
        <v>0</v>
      </c>
      <c r="BR11" s="34">
        <f t="shared" si="63"/>
        <v>0</v>
      </c>
      <c r="BS11" s="32">
        <f t="shared" si="64"/>
        <v>0</v>
      </c>
      <c r="BT11" s="34">
        <f t="shared" si="65"/>
        <v>0</v>
      </c>
      <c r="BU11" s="35">
        <f t="shared" si="66"/>
        <v>0</v>
      </c>
      <c r="BV11" s="181"/>
      <c r="BW11" s="34">
        <f t="shared" si="67"/>
        <v>0</v>
      </c>
      <c r="BX11" s="34">
        <f t="shared" si="68"/>
        <v>0</v>
      </c>
      <c r="BY11" s="34">
        <f t="shared" si="69"/>
        <v>0</v>
      </c>
      <c r="BZ11" s="32">
        <f t="shared" si="70"/>
        <v>0</v>
      </c>
      <c r="CA11" s="34">
        <f t="shared" si="71"/>
        <v>0</v>
      </c>
      <c r="CB11" s="35">
        <f t="shared" si="72"/>
        <v>0</v>
      </c>
      <c r="CC11" s="181"/>
      <c r="CD11" s="34">
        <f t="shared" si="73"/>
        <v>0</v>
      </c>
      <c r="CE11" s="34">
        <f t="shared" si="74"/>
        <v>0</v>
      </c>
      <c r="CF11" s="34">
        <f t="shared" si="75"/>
        <v>0</v>
      </c>
      <c r="CG11" s="32">
        <f t="shared" si="76"/>
        <v>0</v>
      </c>
      <c r="CH11" s="34">
        <f t="shared" si="77"/>
        <v>0</v>
      </c>
      <c r="CI11" s="35">
        <f t="shared" si="78"/>
        <v>0</v>
      </c>
      <c r="CJ11" s="32">
        <f t="shared" si="1"/>
        <v>23686</v>
      </c>
      <c r="CK11" s="32">
        <f t="shared" si="2"/>
        <v>418</v>
      </c>
      <c r="CL11" s="32">
        <f t="shared" si="3"/>
        <v>2844</v>
      </c>
      <c r="CM11" s="32">
        <f t="shared" si="4"/>
        <v>1128</v>
      </c>
      <c r="CN11" s="32">
        <f t="shared" si="5"/>
        <v>872</v>
      </c>
      <c r="CO11" s="32">
        <f t="shared" si="6"/>
        <v>1972</v>
      </c>
      <c r="CP11" s="32">
        <f t="shared" si="7"/>
        <v>20424</v>
      </c>
    </row>
    <row r="12" spans="1:94">
      <c r="A12" s="186" t="s">
        <v>92</v>
      </c>
      <c r="B12" s="180" t="s">
        <v>114</v>
      </c>
      <c r="C12" s="181" t="s">
        <v>122</v>
      </c>
      <c r="D12" s="181">
        <v>3150</v>
      </c>
      <c r="E12" s="34">
        <f t="shared" si="8"/>
        <v>56</v>
      </c>
      <c r="F12" s="34">
        <f t="shared" si="9"/>
        <v>378</v>
      </c>
      <c r="G12" s="34">
        <f t="shared" si="10"/>
        <v>150</v>
      </c>
      <c r="H12" s="32">
        <f t="shared" si="11"/>
        <v>116</v>
      </c>
      <c r="I12" s="34">
        <f t="shared" si="12"/>
        <v>262</v>
      </c>
      <c r="J12" s="35">
        <f t="shared" si="13"/>
        <v>2716</v>
      </c>
      <c r="K12" s="181">
        <v>3020</v>
      </c>
      <c r="L12" s="34">
        <f t="shared" si="14"/>
        <v>53</v>
      </c>
      <c r="M12" s="34">
        <f>ROUNDUP(K12*12%,0)</f>
        <v>363</v>
      </c>
      <c r="N12" s="34">
        <f t="shared" si="15"/>
        <v>144</v>
      </c>
      <c r="O12" s="32">
        <f t="shared" si="16"/>
        <v>111</v>
      </c>
      <c r="P12" s="34">
        <f t="shared" si="17"/>
        <v>252</v>
      </c>
      <c r="Q12" s="35">
        <f t="shared" si="18"/>
        <v>2604</v>
      </c>
      <c r="R12" s="181">
        <v>3171</v>
      </c>
      <c r="S12" s="34">
        <f t="shared" si="19"/>
        <v>56</v>
      </c>
      <c r="T12" s="34">
        <f t="shared" si="20"/>
        <v>381</v>
      </c>
      <c r="U12" s="34">
        <f t="shared" si="21"/>
        <v>151</v>
      </c>
      <c r="V12" s="32">
        <f t="shared" si="22"/>
        <v>117</v>
      </c>
      <c r="W12" s="34">
        <f t="shared" si="23"/>
        <v>264</v>
      </c>
      <c r="X12" s="35">
        <f t="shared" si="24"/>
        <v>2734</v>
      </c>
      <c r="Y12" s="181">
        <v>3171</v>
      </c>
      <c r="Z12" s="34">
        <f t="shared" si="25"/>
        <v>56</v>
      </c>
      <c r="AA12" s="34">
        <f t="shared" si="26"/>
        <v>381</v>
      </c>
      <c r="AB12" s="34">
        <f t="shared" si="27"/>
        <v>151</v>
      </c>
      <c r="AC12" s="32">
        <f t="shared" si="28"/>
        <v>117</v>
      </c>
      <c r="AD12" s="34">
        <f t="shared" si="29"/>
        <v>264</v>
      </c>
      <c r="AE12" s="35">
        <f t="shared" si="30"/>
        <v>2734</v>
      </c>
      <c r="AF12" s="181">
        <v>0</v>
      </c>
      <c r="AG12" s="34">
        <f t="shared" si="31"/>
        <v>0</v>
      </c>
      <c r="AH12" s="34">
        <f t="shared" si="32"/>
        <v>0</v>
      </c>
      <c r="AI12" s="34">
        <f t="shared" si="33"/>
        <v>0</v>
      </c>
      <c r="AJ12" s="32">
        <f t="shared" si="34"/>
        <v>0</v>
      </c>
      <c r="AK12" s="34">
        <f t="shared" si="35"/>
        <v>0</v>
      </c>
      <c r="AL12" s="35">
        <f t="shared" si="36"/>
        <v>0</v>
      </c>
      <c r="AM12" s="181">
        <v>0</v>
      </c>
      <c r="AN12" s="34">
        <f t="shared" si="37"/>
        <v>0</v>
      </c>
      <c r="AO12" s="34">
        <f t="shared" si="38"/>
        <v>0</v>
      </c>
      <c r="AP12" s="34">
        <f t="shared" si="39"/>
        <v>0</v>
      </c>
      <c r="AQ12" s="32">
        <f t="shared" si="40"/>
        <v>0</v>
      </c>
      <c r="AR12" s="34">
        <f t="shared" si="41"/>
        <v>0</v>
      </c>
      <c r="AS12" s="35">
        <f t="shared" si="42"/>
        <v>0</v>
      </c>
      <c r="AT12" s="181">
        <v>0</v>
      </c>
      <c r="AU12" s="34">
        <f t="shared" si="43"/>
        <v>0</v>
      </c>
      <c r="AV12" s="34">
        <f t="shared" si="44"/>
        <v>0</v>
      </c>
      <c r="AW12" s="34">
        <f t="shared" si="45"/>
        <v>0</v>
      </c>
      <c r="AX12" s="32">
        <f t="shared" si="46"/>
        <v>0</v>
      </c>
      <c r="AY12" s="34">
        <f t="shared" si="47"/>
        <v>0</v>
      </c>
      <c r="AZ12" s="35">
        <f t="shared" si="48"/>
        <v>0</v>
      </c>
      <c r="BA12" s="181">
        <v>0</v>
      </c>
      <c r="BB12" s="34">
        <f t="shared" si="49"/>
        <v>0</v>
      </c>
      <c r="BC12" s="34">
        <f t="shared" si="50"/>
        <v>0</v>
      </c>
      <c r="BD12" s="34">
        <f t="shared" si="51"/>
        <v>0</v>
      </c>
      <c r="BE12" s="32">
        <f t="shared" si="52"/>
        <v>0</v>
      </c>
      <c r="BF12" s="34">
        <f t="shared" si="53"/>
        <v>0</v>
      </c>
      <c r="BG12" s="35">
        <f t="shared" si="54"/>
        <v>0</v>
      </c>
      <c r="BH12" s="181"/>
      <c r="BI12" s="34">
        <f t="shared" si="55"/>
        <v>0</v>
      </c>
      <c r="BJ12" s="34">
        <f t="shared" si="56"/>
        <v>0</v>
      </c>
      <c r="BK12" s="34">
        <f t="shared" si="57"/>
        <v>0</v>
      </c>
      <c r="BL12" s="32">
        <f t="shared" si="58"/>
        <v>0</v>
      </c>
      <c r="BM12" s="34">
        <f t="shared" si="59"/>
        <v>0</v>
      </c>
      <c r="BN12" s="35">
        <f t="shared" si="60"/>
        <v>0</v>
      </c>
      <c r="BO12" s="181"/>
      <c r="BP12" s="34">
        <f t="shared" si="61"/>
        <v>0</v>
      </c>
      <c r="BQ12" s="34">
        <f t="shared" si="62"/>
        <v>0</v>
      </c>
      <c r="BR12" s="34">
        <f t="shared" si="63"/>
        <v>0</v>
      </c>
      <c r="BS12" s="32">
        <f t="shared" si="64"/>
        <v>0</v>
      </c>
      <c r="BT12" s="34">
        <f t="shared" si="65"/>
        <v>0</v>
      </c>
      <c r="BU12" s="35">
        <f t="shared" si="66"/>
        <v>0</v>
      </c>
      <c r="BV12" s="181"/>
      <c r="BW12" s="34">
        <f t="shared" si="67"/>
        <v>0</v>
      </c>
      <c r="BX12" s="34">
        <f t="shared" si="68"/>
        <v>0</v>
      </c>
      <c r="BY12" s="34">
        <f t="shared" si="69"/>
        <v>0</v>
      </c>
      <c r="BZ12" s="32">
        <f t="shared" si="70"/>
        <v>0</v>
      </c>
      <c r="CA12" s="34">
        <f t="shared" si="71"/>
        <v>0</v>
      </c>
      <c r="CB12" s="35">
        <f t="shared" si="72"/>
        <v>0</v>
      </c>
      <c r="CC12" s="181"/>
      <c r="CD12" s="34">
        <f t="shared" si="73"/>
        <v>0</v>
      </c>
      <c r="CE12" s="34">
        <f t="shared" si="74"/>
        <v>0</v>
      </c>
      <c r="CF12" s="34">
        <f t="shared" si="75"/>
        <v>0</v>
      </c>
      <c r="CG12" s="32">
        <f t="shared" si="76"/>
        <v>0</v>
      </c>
      <c r="CH12" s="34">
        <f t="shared" si="77"/>
        <v>0</v>
      </c>
      <c r="CI12" s="35">
        <f t="shared" si="78"/>
        <v>0</v>
      </c>
      <c r="CJ12" s="32">
        <f t="shared" si="1"/>
        <v>12512</v>
      </c>
      <c r="CK12" s="32">
        <f t="shared" si="2"/>
        <v>221</v>
      </c>
      <c r="CL12" s="32">
        <f t="shared" si="3"/>
        <v>1503</v>
      </c>
      <c r="CM12" s="32">
        <f t="shared" si="4"/>
        <v>596</v>
      </c>
      <c r="CN12" s="32">
        <f t="shared" si="5"/>
        <v>461</v>
      </c>
      <c r="CO12" s="32">
        <f t="shared" si="6"/>
        <v>1042</v>
      </c>
      <c r="CP12" s="32">
        <f t="shared" si="7"/>
        <v>10788</v>
      </c>
    </row>
    <row r="13" spans="1:94">
      <c r="A13" s="186" t="s">
        <v>93</v>
      </c>
      <c r="B13" s="180" t="s">
        <v>115</v>
      </c>
      <c r="C13" s="181" t="s">
        <v>125</v>
      </c>
      <c r="D13" s="181">
        <v>0</v>
      </c>
      <c r="E13" s="34">
        <f t="shared" si="8"/>
        <v>0</v>
      </c>
      <c r="F13" s="34">
        <f t="shared" si="9"/>
        <v>0</v>
      </c>
      <c r="G13" s="34">
        <f t="shared" si="10"/>
        <v>0</v>
      </c>
      <c r="H13" s="32">
        <f t="shared" si="11"/>
        <v>0</v>
      </c>
      <c r="I13" s="34">
        <f t="shared" si="12"/>
        <v>0</v>
      </c>
      <c r="J13" s="35">
        <f t="shared" si="13"/>
        <v>0</v>
      </c>
      <c r="K13" s="181">
        <v>0</v>
      </c>
      <c r="L13" s="34">
        <f t="shared" si="14"/>
        <v>0</v>
      </c>
      <c r="M13" s="34">
        <f t="shared" ref="M13:M25" si="79">ROUNDUP(K13*12%,0)</f>
        <v>0</v>
      </c>
      <c r="N13" s="34">
        <f t="shared" si="15"/>
        <v>0</v>
      </c>
      <c r="O13" s="32">
        <f t="shared" si="16"/>
        <v>0</v>
      </c>
      <c r="P13" s="34">
        <f t="shared" si="17"/>
        <v>0</v>
      </c>
      <c r="Q13" s="35">
        <f t="shared" si="18"/>
        <v>0</v>
      </c>
      <c r="R13" s="181">
        <v>0</v>
      </c>
      <c r="S13" s="34">
        <f t="shared" si="19"/>
        <v>0</v>
      </c>
      <c r="T13" s="34">
        <f t="shared" si="20"/>
        <v>0</v>
      </c>
      <c r="U13" s="34">
        <f t="shared" si="21"/>
        <v>0</v>
      </c>
      <c r="V13" s="32">
        <f t="shared" si="22"/>
        <v>0</v>
      </c>
      <c r="W13" s="34">
        <f t="shared" si="23"/>
        <v>0</v>
      </c>
      <c r="X13" s="35">
        <f t="shared" si="24"/>
        <v>0</v>
      </c>
      <c r="Y13" s="181">
        <v>0</v>
      </c>
      <c r="Z13" s="34">
        <f t="shared" si="25"/>
        <v>0</v>
      </c>
      <c r="AA13" s="34">
        <f t="shared" si="26"/>
        <v>0</v>
      </c>
      <c r="AB13" s="34">
        <f t="shared" si="27"/>
        <v>0</v>
      </c>
      <c r="AC13" s="32">
        <f t="shared" si="28"/>
        <v>0</v>
      </c>
      <c r="AD13" s="34">
        <f t="shared" si="29"/>
        <v>0</v>
      </c>
      <c r="AE13" s="35">
        <f t="shared" si="30"/>
        <v>0</v>
      </c>
      <c r="AF13" s="181">
        <v>0</v>
      </c>
      <c r="AG13" s="34">
        <f t="shared" si="31"/>
        <v>0</v>
      </c>
      <c r="AH13" s="34">
        <f t="shared" si="32"/>
        <v>0</v>
      </c>
      <c r="AI13" s="34">
        <f t="shared" si="33"/>
        <v>0</v>
      </c>
      <c r="AJ13" s="32">
        <f t="shared" si="34"/>
        <v>0</v>
      </c>
      <c r="AK13" s="34">
        <f t="shared" si="35"/>
        <v>0</v>
      </c>
      <c r="AL13" s="35">
        <f t="shared" si="36"/>
        <v>0</v>
      </c>
      <c r="AM13" s="181">
        <v>0</v>
      </c>
      <c r="AN13" s="34">
        <f t="shared" si="37"/>
        <v>0</v>
      </c>
      <c r="AO13" s="34">
        <f t="shared" si="38"/>
        <v>0</v>
      </c>
      <c r="AP13" s="34">
        <f t="shared" si="39"/>
        <v>0</v>
      </c>
      <c r="AQ13" s="32">
        <f t="shared" si="40"/>
        <v>0</v>
      </c>
      <c r="AR13" s="34">
        <f t="shared" si="41"/>
        <v>0</v>
      </c>
      <c r="AS13" s="35">
        <f t="shared" si="42"/>
        <v>0</v>
      </c>
      <c r="AT13" s="181">
        <v>0</v>
      </c>
      <c r="AU13" s="34">
        <f t="shared" si="43"/>
        <v>0</v>
      </c>
      <c r="AV13" s="34">
        <f t="shared" si="44"/>
        <v>0</v>
      </c>
      <c r="AW13" s="34">
        <f t="shared" si="45"/>
        <v>0</v>
      </c>
      <c r="AX13" s="32">
        <f t="shared" si="46"/>
        <v>0</v>
      </c>
      <c r="AY13" s="34">
        <f t="shared" si="47"/>
        <v>0</v>
      </c>
      <c r="AZ13" s="35">
        <f t="shared" si="48"/>
        <v>0</v>
      </c>
      <c r="BA13" s="181">
        <v>0</v>
      </c>
      <c r="BB13" s="34">
        <f t="shared" si="49"/>
        <v>0</v>
      </c>
      <c r="BC13" s="34">
        <f t="shared" si="50"/>
        <v>0</v>
      </c>
      <c r="BD13" s="34">
        <f t="shared" si="51"/>
        <v>0</v>
      </c>
      <c r="BE13" s="32">
        <f t="shared" si="52"/>
        <v>0</v>
      </c>
      <c r="BF13" s="34">
        <f t="shared" si="53"/>
        <v>0</v>
      </c>
      <c r="BG13" s="35">
        <f t="shared" si="54"/>
        <v>0</v>
      </c>
      <c r="BH13" s="181"/>
      <c r="BI13" s="34">
        <f t="shared" si="55"/>
        <v>0</v>
      </c>
      <c r="BJ13" s="34">
        <f t="shared" si="56"/>
        <v>0</v>
      </c>
      <c r="BK13" s="34">
        <f t="shared" si="57"/>
        <v>0</v>
      </c>
      <c r="BL13" s="32">
        <f t="shared" si="58"/>
        <v>0</v>
      </c>
      <c r="BM13" s="34">
        <f t="shared" si="59"/>
        <v>0</v>
      </c>
      <c r="BN13" s="35">
        <f t="shared" si="60"/>
        <v>0</v>
      </c>
      <c r="BO13" s="181"/>
      <c r="BP13" s="34">
        <f t="shared" si="61"/>
        <v>0</v>
      </c>
      <c r="BQ13" s="34">
        <f t="shared" si="62"/>
        <v>0</v>
      </c>
      <c r="BR13" s="34">
        <f t="shared" si="63"/>
        <v>0</v>
      </c>
      <c r="BS13" s="32">
        <f t="shared" si="64"/>
        <v>0</v>
      </c>
      <c r="BT13" s="34">
        <f t="shared" si="65"/>
        <v>0</v>
      </c>
      <c r="BU13" s="35">
        <f t="shared" si="66"/>
        <v>0</v>
      </c>
      <c r="BV13" s="181"/>
      <c r="BW13" s="34">
        <f t="shared" si="67"/>
        <v>0</v>
      </c>
      <c r="BX13" s="34">
        <f t="shared" si="68"/>
        <v>0</v>
      </c>
      <c r="BY13" s="34">
        <f t="shared" si="69"/>
        <v>0</v>
      </c>
      <c r="BZ13" s="32">
        <f t="shared" si="70"/>
        <v>0</v>
      </c>
      <c r="CA13" s="34">
        <f t="shared" si="71"/>
        <v>0</v>
      </c>
      <c r="CB13" s="35">
        <f t="shared" si="72"/>
        <v>0</v>
      </c>
      <c r="CC13" s="181"/>
      <c r="CD13" s="34">
        <f t="shared" si="73"/>
        <v>0</v>
      </c>
      <c r="CE13" s="34">
        <f t="shared" si="74"/>
        <v>0</v>
      </c>
      <c r="CF13" s="34">
        <f t="shared" si="75"/>
        <v>0</v>
      </c>
      <c r="CG13" s="32">
        <f t="shared" si="76"/>
        <v>0</v>
      </c>
      <c r="CH13" s="34">
        <f t="shared" si="77"/>
        <v>0</v>
      </c>
      <c r="CI13" s="35">
        <f t="shared" si="78"/>
        <v>0</v>
      </c>
      <c r="CJ13" s="32">
        <f t="shared" si="1"/>
        <v>0</v>
      </c>
      <c r="CK13" s="32">
        <f t="shared" si="2"/>
        <v>0</v>
      </c>
      <c r="CL13" s="32">
        <f t="shared" si="3"/>
        <v>0</v>
      </c>
      <c r="CM13" s="32">
        <f t="shared" si="4"/>
        <v>0</v>
      </c>
      <c r="CN13" s="32">
        <f t="shared" si="5"/>
        <v>0</v>
      </c>
      <c r="CO13" s="32">
        <f t="shared" si="6"/>
        <v>0</v>
      </c>
      <c r="CP13" s="32">
        <f t="shared" si="7"/>
        <v>0</v>
      </c>
    </row>
    <row r="14" spans="1:94">
      <c r="A14" s="186" t="s">
        <v>94</v>
      </c>
      <c r="B14" s="180" t="s">
        <v>116</v>
      </c>
      <c r="C14" s="181" t="s">
        <v>124</v>
      </c>
      <c r="D14" s="181">
        <v>3150</v>
      </c>
      <c r="E14" s="34">
        <f t="shared" si="8"/>
        <v>56</v>
      </c>
      <c r="F14" s="34">
        <f t="shared" si="9"/>
        <v>378</v>
      </c>
      <c r="G14" s="34">
        <f t="shared" si="10"/>
        <v>150</v>
      </c>
      <c r="H14" s="32">
        <f t="shared" si="11"/>
        <v>116</v>
      </c>
      <c r="I14" s="34">
        <f t="shared" si="12"/>
        <v>262</v>
      </c>
      <c r="J14" s="35">
        <f t="shared" si="13"/>
        <v>2716</v>
      </c>
      <c r="K14" s="181">
        <v>3171</v>
      </c>
      <c r="L14" s="34">
        <f t="shared" si="14"/>
        <v>56</v>
      </c>
      <c r="M14" s="34">
        <f t="shared" si="79"/>
        <v>381</v>
      </c>
      <c r="N14" s="34">
        <f t="shared" si="15"/>
        <v>151</v>
      </c>
      <c r="O14" s="32">
        <f t="shared" si="16"/>
        <v>117</v>
      </c>
      <c r="P14" s="34">
        <f t="shared" si="17"/>
        <v>264</v>
      </c>
      <c r="Q14" s="35">
        <f t="shared" si="18"/>
        <v>2734</v>
      </c>
      <c r="R14" s="181">
        <v>3171</v>
      </c>
      <c r="S14" s="34">
        <f t="shared" si="19"/>
        <v>56</v>
      </c>
      <c r="T14" s="34">
        <f t="shared" si="20"/>
        <v>381</v>
      </c>
      <c r="U14" s="34">
        <f t="shared" si="21"/>
        <v>151</v>
      </c>
      <c r="V14" s="32">
        <f t="shared" si="22"/>
        <v>117</v>
      </c>
      <c r="W14" s="34">
        <f t="shared" si="23"/>
        <v>264</v>
      </c>
      <c r="X14" s="35">
        <f t="shared" si="24"/>
        <v>2734</v>
      </c>
      <c r="Y14" s="181">
        <v>3171</v>
      </c>
      <c r="Z14" s="34">
        <f t="shared" si="25"/>
        <v>56</v>
      </c>
      <c r="AA14" s="34">
        <f t="shared" si="26"/>
        <v>381</v>
      </c>
      <c r="AB14" s="34">
        <f t="shared" si="27"/>
        <v>151</v>
      </c>
      <c r="AC14" s="32">
        <f t="shared" si="28"/>
        <v>117</v>
      </c>
      <c r="AD14" s="34">
        <f t="shared" si="29"/>
        <v>264</v>
      </c>
      <c r="AE14" s="35">
        <f t="shared" si="30"/>
        <v>2734</v>
      </c>
      <c r="AF14" s="181">
        <v>2265</v>
      </c>
      <c r="AG14" s="34">
        <f t="shared" si="31"/>
        <v>40</v>
      </c>
      <c r="AH14" s="34">
        <f t="shared" si="32"/>
        <v>272</v>
      </c>
      <c r="AI14" s="34">
        <f t="shared" si="33"/>
        <v>108</v>
      </c>
      <c r="AJ14" s="32">
        <f t="shared" si="34"/>
        <v>83</v>
      </c>
      <c r="AK14" s="34">
        <f t="shared" si="35"/>
        <v>189</v>
      </c>
      <c r="AL14" s="35">
        <f t="shared" si="36"/>
        <v>1953</v>
      </c>
      <c r="AM14" s="181">
        <v>3171</v>
      </c>
      <c r="AN14" s="34">
        <f t="shared" si="37"/>
        <v>56</v>
      </c>
      <c r="AO14" s="34">
        <f t="shared" si="38"/>
        <v>381</v>
      </c>
      <c r="AP14" s="34">
        <f t="shared" si="39"/>
        <v>151</v>
      </c>
      <c r="AQ14" s="32">
        <f t="shared" si="40"/>
        <v>117</v>
      </c>
      <c r="AR14" s="34">
        <f t="shared" si="41"/>
        <v>264</v>
      </c>
      <c r="AS14" s="35">
        <f t="shared" si="42"/>
        <v>2734</v>
      </c>
      <c r="AT14" s="181">
        <v>0</v>
      </c>
      <c r="AU14" s="34">
        <f t="shared" si="43"/>
        <v>0</v>
      </c>
      <c r="AV14" s="34">
        <f t="shared" si="44"/>
        <v>0</v>
      </c>
      <c r="AW14" s="34">
        <f t="shared" si="45"/>
        <v>0</v>
      </c>
      <c r="AX14" s="32">
        <f t="shared" si="46"/>
        <v>0</v>
      </c>
      <c r="AY14" s="34">
        <f t="shared" si="47"/>
        <v>0</v>
      </c>
      <c r="AZ14" s="35">
        <f t="shared" si="48"/>
        <v>0</v>
      </c>
      <c r="BA14" s="181">
        <v>0</v>
      </c>
      <c r="BB14" s="34">
        <f t="shared" si="49"/>
        <v>0</v>
      </c>
      <c r="BC14" s="34">
        <f t="shared" si="50"/>
        <v>0</v>
      </c>
      <c r="BD14" s="34">
        <f t="shared" si="51"/>
        <v>0</v>
      </c>
      <c r="BE14" s="32">
        <f t="shared" si="52"/>
        <v>0</v>
      </c>
      <c r="BF14" s="34">
        <f t="shared" si="53"/>
        <v>0</v>
      </c>
      <c r="BG14" s="35">
        <f t="shared" si="54"/>
        <v>0</v>
      </c>
      <c r="BH14" s="181"/>
      <c r="BI14" s="34">
        <f t="shared" si="55"/>
        <v>0</v>
      </c>
      <c r="BJ14" s="34">
        <f t="shared" si="56"/>
        <v>0</v>
      </c>
      <c r="BK14" s="34">
        <f t="shared" si="57"/>
        <v>0</v>
      </c>
      <c r="BL14" s="32">
        <f t="shared" si="58"/>
        <v>0</v>
      </c>
      <c r="BM14" s="34">
        <f t="shared" si="59"/>
        <v>0</v>
      </c>
      <c r="BN14" s="35">
        <f t="shared" si="60"/>
        <v>0</v>
      </c>
      <c r="BO14" s="181"/>
      <c r="BP14" s="34">
        <f t="shared" si="61"/>
        <v>0</v>
      </c>
      <c r="BQ14" s="34">
        <f t="shared" si="62"/>
        <v>0</v>
      </c>
      <c r="BR14" s="34">
        <f t="shared" si="63"/>
        <v>0</v>
      </c>
      <c r="BS14" s="32">
        <f t="shared" si="64"/>
        <v>0</v>
      </c>
      <c r="BT14" s="34">
        <f t="shared" si="65"/>
        <v>0</v>
      </c>
      <c r="BU14" s="35">
        <f t="shared" si="66"/>
        <v>0</v>
      </c>
      <c r="BV14" s="181"/>
      <c r="BW14" s="34">
        <f t="shared" si="67"/>
        <v>0</v>
      </c>
      <c r="BX14" s="34">
        <f t="shared" si="68"/>
        <v>0</v>
      </c>
      <c r="BY14" s="34">
        <f t="shared" si="69"/>
        <v>0</v>
      </c>
      <c r="BZ14" s="32">
        <f t="shared" si="70"/>
        <v>0</v>
      </c>
      <c r="CA14" s="34">
        <f t="shared" si="71"/>
        <v>0</v>
      </c>
      <c r="CB14" s="35">
        <f t="shared" si="72"/>
        <v>0</v>
      </c>
      <c r="CC14" s="181"/>
      <c r="CD14" s="34">
        <f t="shared" si="73"/>
        <v>0</v>
      </c>
      <c r="CE14" s="34">
        <f t="shared" si="74"/>
        <v>0</v>
      </c>
      <c r="CF14" s="34">
        <f t="shared" si="75"/>
        <v>0</v>
      </c>
      <c r="CG14" s="32">
        <f t="shared" si="76"/>
        <v>0</v>
      </c>
      <c r="CH14" s="34">
        <f t="shared" si="77"/>
        <v>0</v>
      </c>
      <c r="CI14" s="35">
        <f t="shared" si="78"/>
        <v>0</v>
      </c>
      <c r="CJ14" s="32">
        <f t="shared" si="1"/>
        <v>18099</v>
      </c>
      <c r="CK14" s="32">
        <f t="shared" si="2"/>
        <v>320</v>
      </c>
      <c r="CL14" s="32">
        <f t="shared" si="3"/>
        <v>2174</v>
      </c>
      <c r="CM14" s="32">
        <f t="shared" si="4"/>
        <v>862</v>
      </c>
      <c r="CN14" s="32">
        <f t="shared" si="5"/>
        <v>667</v>
      </c>
      <c r="CO14" s="32">
        <f t="shared" si="6"/>
        <v>1507</v>
      </c>
      <c r="CP14" s="32">
        <f t="shared" si="7"/>
        <v>15605</v>
      </c>
    </row>
    <row r="15" spans="1:94">
      <c r="A15" s="186" t="s">
        <v>95</v>
      </c>
      <c r="B15" s="180" t="s">
        <v>117</v>
      </c>
      <c r="C15" s="181" t="s">
        <v>123</v>
      </c>
      <c r="D15" s="181">
        <v>3150</v>
      </c>
      <c r="E15" s="34">
        <f t="shared" si="8"/>
        <v>56</v>
      </c>
      <c r="F15" s="34">
        <f t="shared" si="9"/>
        <v>378</v>
      </c>
      <c r="G15" s="34">
        <f t="shared" si="10"/>
        <v>150</v>
      </c>
      <c r="H15" s="32">
        <f t="shared" si="11"/>
        <v>116</v>
      </c>
      <c r="I15" s="34">
        <f t="shared" si="12"/>
        <v>262</v>
      </c>
      <c r="J15" s="35">
        <f t="shared" si="13"/>
        <v>2716</v>
      </c>
      <c r="K15" s="181">
        <v>3171</v>
      </c>
      <c r="L15" s="34">
        <f t="shared" si="14"/>
        <v>56</v>
      </c>
      <c r="M15" s="34">
        <f t="shared" si="79"/>
        <v>381</v>
      </c>
      <c r="N15" s="34">
        <f t="shared" si="15"/>
        <v>151</v>
      </c>
      <c r="O15" s="32">
        <f t="shared" si="16"/>
        <v>117</v>
      </c>
      <c r="P15" s="34">
        <f t="shared" si="17"/>
        <v>264</v>
      </c>
      <c r="Q15" s="35">
        <f t="shared" si="18"/>
        <v>2734</v>
      </c>
      <c r="R15" s="181">
        <v>3171</v>
      </c>
      <c r="S15" s="34">
        <f t="shared" si="19"/>
        <v>56</v>
      </c>
      <c r="T15" s="34">
        <f t="shared" si="20"/>
        <v>381</v>
      </c>
      <c r="U15" s="34">
        <f t="shared" si="21"/>
        <v>151</v>
      </c>
      <c r="V15" s="32">
        <f t="shared" si="22"/>
        <v>117</v>
      </c>
      <c r="W15" s="34">
        <f t="shared" si="23"/>
        <v>264</v>
      </c>
      <c r="X15" s="35">
        <f t="shared" si="24"/>
        <v>2734</v>
      </c>
      <c r="Y15" s="181">
        <v>3171</v>
      </c>
      <c r="Z15" s="34">
        <f t="shared" si="25"/>
        <v>56</v>
      </c>
      <c r="AA15" s="34">
        <f t="shared" si="26"/>
        <v>381</v>
      </c>
      <c r="AB15" s="34">
        <f t="shared" si="27"/>
        <v>151</v>
      </c>
      <c r="AC15" s="32">
        <f t="shared" si="28"/>
        <v>117</v>
      </c>
      <c r="AD15" s="34">
        <f t="shared" si="29"/>
        <v>264</v>
      </c>
      <c r="AE15" s="35">
        <f t="shared" si="30"/>
        <v>2734</v>
      </c>
      <c r="AF15" s="181">
        <v>3322</v>
      </c>
      <c r="AG15" s="34">
        <f t="shared" si="31"/>
        <v>59</v>
      </c>
      <c r="AH15" s="34">
        <f t="shared" si="32"/>
        <v>399</v>
      </c>
      <c r="AI15" s="34">
        <f t="shared" si="33"/>
        <v>158</v>
      </c>
      <c r="AJ15" s="32">
        <f t="shared" si="34"/>
        <v>122</v>
      </c>
      <c r="AK15" s="34">
        <f t="shared" si="35"/>
        <v>277</v>
      </c>
      <c r="AL15" s="35">
        <f t="shared" si="36"/>
        <v>2864</v>
      </c>
      <c r="AM15" s="181">
        <v>2114</v>
      </c>
      <c r="AN15" s="34">
        <f t="shared" si="37"/>
        <v>37</v>
      </c>
      <c r="AO15" s="34">
        <f t="shared" si="38"/>
        <v>254</v>
      </c>
      <c r="AP15" s="34">
        <f t="shared" si="39"/>
        <v>101</v>
      </c>
      <c r="AQ15" s="32">
        <f t="shared" si="40"/>
        <v>78</v>
      </c>
      <c r="AR15" s="34">
        <f t="shared" si="41"/>
        <v>176</v>
      </c>
      <c r="AS15" s="35">
        <f t="shared" si="42"/>
        <v>1823</v>
      </c>
      <c r="AT15" s="181">
        <v>0</v>
      </c>
      <c r="AU15" s="34">
        <f t="shared" si="43"/>
        <v>0</v>
      </c>
      <c r="AV15" s="34">
        <f t="shared" si="44"/>
        <v>0</v>
      </c>
      <c r="AW15" s="34">
        <f t="shared" si="45"/>
        <v>0</v>
      </c>
      <c r="AX15" s="32">
        <f t="shared" si="46"/>
        <v>0</v>
      </c>
      <c r="AY15" s="34">
        <f t="shared" si="47"/>
        <v>0</v>
      </c>
      <c r="AZ15" s="35">
        <f t="shared" si="48"/>
        <v>0</v>
      </c>
      <c r="BA15" s="181">
        <v>0</v>
      </c>
      <c r="BB15" s="34">
        <f t="shared" si="49"/>
        <v>0</v>
      </c>
      <c r="BC15" s="34">
        <f t="shared" si="50"/>
        <v>0</v>
      </c>
      <c r="BD15" s="34">
        <f t="shared" si="51"/>
        <v>0</v>
      </c>
      <c r="BE15" s="32">
        <f t="shared" si="52"/>
        <v>0</v>
      </c>
      <c r="BF15" s="34">
        <f t="shared" si="53"/>
        <v>0</v>
      </c>
      <c r="BG15" s="35">
        <f t="shared" si="54"/>
        <v>0</v>
      </c>
      <c r="BH15" s="181"/>
      <c r="BI15" s="34">
        <f t="shared" si="55"/>
        <v>0</v>
      </c>
      <c r="BJ15" s="34">
        <f t="shared" si="56"/>
        <v>0</v>
      </c>
      <c r="BK15" s="34">
        <f t="shared" si="57"/>
        <v>0</v>
      </c>
      <c r="BL15" s="32">
        <f t="shared" si="58"/>
        <v>0</v>
      </c>
      <c r="BM15" s="34">
        <f t="shared" si="59"/>
        <v>0</v>
      </c>
      <c r="BN15" s="35">
        <f t="shared" si="60"/>
        <v>0</v>
      </c>
      <c r="BO15" s="181"/>
      <c r="BP15" s="34">
        <f t="shared" si="61"/>
        <v>0</v>
      </c>
      <c r="BQ15" s="34">
        <f t="shared" si="62"/>
        <v>0</v>
      </c>
      <c r="BR15" s="34">
        <f t="shared" si="63"/>
        <v>0</v>
      </c>
      <c r="BS15" s="32">
        <f t="shared" si="64"/>
        <v>0</v>
      </c>
      <c r="BT15" s="34">
        <f t="shared" si="65"/>
        <v>0</v>
      </c>
      <c r="BU15" s="35">
        <f t="shared" si="66"/>
        <v>0</v>
      </c>
      <c r="BV15" s="181"/>
      <c r="BW15" s="34">
        <f t="shared" si="67"/>
        <v>0</v>
      </c>
      <c r="BX15" s="34">
        <f t="shared" si="68"/>
        <v>0</v>
      </c>
      <c r="BY15" s="34">
        <f t="shared" si="69"/>
        <v>0</v>
      </c>
      <c r="BZ15" s="32">
        <f t="shared" si="70"/>
        <v>0</v>
      </c>
      <c r="CA15" s="34">
        <f t="shared" si="71"/>
        <v>0</v>
      </c>
      <c r="CB15" s="35">
        <f t="shared" si="72"/>
        <v>0</v>
      </c>
      <c r="CC15" s="181"/>
      <c r="CD15" s="34">
        <f t="shared" si="73"/>
        <v>0</v>
      </c>
      <c r="CE15" s="34">
        <f t="shared" si="74"/>
        <v>0</v>
      </c>
      <c r="CF15" s="34">
        <f t="shared" si="75"/>
        <v>0</v>
      </c>
      <c r="CG15" s="32">
        <f t="shared" si="76"/>
        <v>0</v>
      </c>
      <c r="CH15" s="34">
        <f t="shared" si="77"/>
        <v>0</v>
      </c>
      <c r="CI15" s="35">
        <f t="shared" si="78"/>
        <v>0</v>
      </c>
      <c r="CJ15" s="32">
        <f t="shared" si="1"/>
        <v>18099</v>
      </c>
      <c r="CK15" s="32">
        <f t="shared" si="2"/>
        <v>320</v>
      </c>
      <c r="CL15" s="32">
        <f t="shared" si="3"/>
        <v>2174</v>
      </c>
      <c r="CM15" s="32">
        <f t="shared" si="4"/>
        <v>862</v>
      </c>
      <c r="CN15" s="32">
        <f t="shared" si="5"/>
        <v>667</v>
      </c>
      <c r="CO15" s="32">
        <f t="shared" si="6"/>
        <v>1507</v>
      </c>
      <c r="CP15" s="32">
        <f t="shared" si="7"/>
        <v>15605</v>
      </c>
    </row>
    <row r="16" spans="1:94">
      <c r="A16" s="186" t="s">
        <v>96</v>
      </c>
      <c r="B16" s="180"/>
      <c r="C16" s="181"/>
      <c r="D16" s="181">
        <v>3150</v>
      </c>
      <c r="E16" s="34">
        <f t="shared" si="8"/>
        <v>56</v>
      </c>
      <c r="F16" s="34">
        <f t="shared" si="9"/>
        <v>378</v>
      </c>
      <c r="G16" s="34">
        <f t="shared" si="10"/>
        <v>150</v>
      </c>
      <c r="H16" s="32">
        <f t="shared" si="11"/>
        <v>116</v>
      </c>
      <c r="I16" s="34">
        <f t="shared" si="12"/>
        <v>262</v>
      </c>
      <c r="J16" s="35">
        <f t="shared" si="13"/>
        <v>2716</v>
      </c>
      <c r="K16" s="181">
        <v>3171</v>
      </c>
      <c r="L16" s="34">
        <f t="shared" si="14"/>
        <v>56</v>
      </c>
      <c r="M16" s="34">
        <f t="shared" si="79"/>
        <v>381</v>
      </c>
      <c r="N16" s="34">
        <f t="shared" si="15"/>
        <v>151</v>
      </c>
      <c r="O16" s="32">
        <f t="shared" si="16"/>
        <v>117</v>
      </c>
      <c r="P16" s="34">
        <f t="shared" si="17"/>
        <v>264</v>
      </c>
      <c r="Q16" s="35">
        <f t="shared" si="18"/>
        <v>2734</v>
      </c>
      <c r="R16" s="181">
        <v>3171</v>
      </c>
      <c r="S16" s="34">
        <f t="shared" si="19"/>
        <v>56</v>
      </c>
      <c r="T16" s="34">
        <f t="shared" si="20"/>
        <v>381</v>
      </c>
      <c r="U16" s="34">
        <f t="shared" si="21"/>
        <v>151</v>
      </c>
      <c r="V16" s="32">
        <f t="shared" si="22"/>
        <v>117</v>
      </c>
      <c r="W16" s="34">
        <f t="shared" si="23"/>
        <v>264</v>
      </c>
      <c r="X16" s="35">
        <f t="shared" si="24"/>
        <v>2734</v>
      </c>
      <c r="Y16" s="181">
        <v>3171</v>
      </c>
      <c r="Z16" s="34">
        <f t="shared" si="25"/>
        <v>56</v>
      </c>
      <c r="AA16" s="34">
        <f t="shared" si="26"/>
        <v>381</v>
      </c>
      <c r="AB16" s="34">
        <f t="shared" si="27"/>
        <v>151</v>
      </c>
      <c r="AC16" s="32">
        <f t="shared" si="28"/>
        <v>117</v>
      </c>
      <c r="AD16" s="34">
        <f t="shared" si="29"/>
        <v>264</v>
      </c>
      <c r="AE16" s="35">
        <f t="shared" si="30"/>
        <v>2734</v>
      </c>
      <c r="AF16" s="181">
        <v>3322</v>
      </c>
      <c r="AG16" s="34">
        <f t="shared" si="31"/>
        <v>59</v>
      </c>
      <c r="AH16" s="34">
        <f t="shared" si="32"/>
        <v>399</v>
      </c>
      <c r="AI16" s="34">
        <f t="shared" si="33"/>
        <v>158</v>
      </c>
      <c r="AJ16" s="32">
        <f t="shared" si="34"/>
        <v>122</v>
      </c>
      <c r="AK16" s="34">
        <f t="shared" si="35"/>
        <v>277</v>
      </c>
      <c r="AL16" s="35">
        <f t="shared" si="36"/>
        <v>2864</v>
      </c>
      <c r="AM16" s="181">
        <v>3322</v>
      </c>
      <c r="AN16" s="34">
        <f t="shared" si="37"/>
        <v>59</v>
      </c>
      <c r="AO16" s="34">
        <f t="shared" si="38"/>
        <v>399</v>
      </c>
      <c r="AP16" s="34">
        <f t="shared" si="39"/>
        <v>158</v>
      </c>
      <c r="AQ16" s="32">
        <f t="shared" si="40"/>
        <v>122</v>
      </c>
      <c r="AR16" s="34">
        <f t="shared" si="41"/>
        <v>277</v>
      </c>
      <c r="AS16" s="35">
        <f t="shared" si="42"/>
        <v>2864</v>
      </c>
      <c r="AT16" s="181">
        <v>3322</v>
      </c>
      <c r="AU16" s="34">
        <f t="shared" si="43"/>
        <v>59</v>
      </c>
      <c r="AV16" s="34">
        <f t="shared" si="44"/>
        <v>399</v>
      </c>
      <c r="AW16" s="34">
        <f t="shared" si="45"/>
        <v>158</v>
      </c>
      <c r="AX16" s="32">
        <f t="shared" si="46"/>
        <v>122</v>
      </c>
      <c r="AY16" s="34">
        <f t="shared" si="47"/>
        <v>277</v>
      </c>
      <c r="AZ16" s="35">
        <f t="shared" si="48"/>
        <v>2864</v>
      </c>
      <c r="BA16" s="181">
        <v>0</v>
      </c>
      <c r="BB16" s="34">
        <f t="shared" si="49"/>
        <v>0</v>
      </c>
      <c r="BC16" s="34">
        <f t="shared" si="50"/>
        <v>0</v>
      </c>
      <c r="BD16" s="34">
        <f t="shared" si="51"/>
        <v>0</v>
      </c>
      <c r="BE16" s="32">
        <f t="shared" si="52"/>
        <v>0</v>
      </c>
      <c r="BF16" s="34">
        <f t="shared" si="53"/>
        <v>0</v>
      </c>
      <c r="BG16" s="35">
        <f t="shared" si="54"/>
        <v>0</v>
      </c>
      <c r="BH16" s="181"/>
      <c r="BI16" s="34">
        <f t="shared" si="55"/>
        <v>0</v>
      </c>
      <c r="BJ16" s="34">
        <f t="shared" si="56"/>
        <v>0</v>
      </c>
      <c r="BK16" s="34">
        <f t="shared" si="57"/>
        <v>0</v>
      </c>
      <c r="BL16" s="32">
        <f t="shared" si="58"/>
        <v>0</v>
      </c>
      <c r="BM16" s="34">
        <f t="shared" si="59"/>
        <v>0</v>
      </c>
      <c r="BN16" s="35">
        <f t="shared" si="60"/>
        <v>0</v>
      </c>
      <c r="BO16" s="181"/>
      <c r="BP16" s="34">
        <f t="shared" si="61"/>
        <v>0</v>
      </c>
      <c r="BQ16" s="34">
        <f t="shared" si="62"/>
        <v>0</v>
      </c>
      <c r="BR16" s="34">
        <f t="shared" si="63"/>
        <v>0</v>
      </c>
      <c r="BS16" s="32">
        <f t="shared" si="64"/>
        <v>0</v>
      </c>
      <c r="BT16" s="34">
        <f t="shared" si="65"/>
        <v>0</v>
      </c>
      <c r="BU16" s="35">
        <f t="shared" si="66"/>
        <v>0</v>
      </c>
      <c r="BV16" s="181"/>
      <c r="BW16" s="34">
        <f t="shared" si="67"/>
        <v>0</v>
      </c>
      <c r="BX16" s="34">
        <f t="shared" si="68"/>
        <v>0</v>
      </c>
      <c r="BY16" s="34">
        <f t="shared" si="69"/>
        <v>0</v>
      </c>
      <c r="BZ16" s="32">
        <f t="shared" si="70"/>
        <v>0</v>
      </c>
      <c r="CA16" s="34">
        <f t="shared" si="71"/>
        <v>0</v>
      </c>
      <c r="CB16" s="35">
        <f t="shared" si="72"/>
        <v>0</v>
      </c>
      <c r="CC16" s="181"/>
      <c r="CD16" s="34">
        <f t="shared" si="73"/>
        <v>0</v>
      </c>
      <c r="CE16" s="34">
        <f t="shared" si="74"/>
        <v>0</v>
      </c>
      <c r="CF16" s="34">
        <f t="shared" si="75"/>
        <v>0</v>
      </c>
      <c r="CG16" s="32">
        <f t="shared" si="76"/>
        <v>0</v>
      </c>
      <c r="CH16" s="34">
        <f t="shared" si="77"/>
        <v>0</v>
      </c>
      <c r="CI16" s="35">
        <f t="shared" si="78"/>
        <v>0</v>
      </c>
      <c r="CJ16" s="32">
        <f t="shared" si="1"/>
        <v>22629</v>
      </c>
      <c r="CK16" s="32">
        <f t="shared" si="2"/>
        <v>401</v>
      </c>
      <c r="CL16" s="32">
        <f t="shared" si="3"/>
        <v>2718</v>
      </c>
      <c r="CM16" s="32">
        <f t="shared" si="4"/>
        <v>1077</v>
      </c>
      <c r="CN16" s="32">
        <f t="shared" si="5"/>
        <v>833</v>
      </c>
      <c r="CO16" s="32">
        <f t="shared" si="6"/>
        <v>1885</v>
      </c>
      <c r="CP16" s="32">
        <f t="shared" si="7"/>
        <v>19510</v>
      </c>
    </row>
    <row r="17" spans="1:94">
      <c r="A17" s="186" t="s">
        <v>97</v>
      </c>
      <c r="B17" s="180"/>
      <c r="C17" s="181"/>
      <c r="D17" s="181">
        <v>3150</v>
      </c>
      <c r="E17" s="34">
        <f t="shared" si="8"/>
        <v>56</v>
      </c>
      <c r="F17" s="34">
        <f t="shared" si="9"/>
        <v>378</v>
      </c>
      <c r="G17" s="34">
        <f t="shared" si="10"/>
        <v>150</v>
      </c>
      <c r="H17" s="32">
        <f t="shared" si="11"/>
        <v>116</v>
      </c>
      <c r="I17" s="34">
        <f t="shared" si="12"/>
        <v>262</v>
      </c>
      <c r="J17" s="35">
        <f t="shared" si="13"/>
        <v>2716</v>
      </c>
      <c r="K17" s="181">
        <v>3171</v>
      </c>
      <c r="L17" s="34">
        <f t="shared" si="14"/>
        <v>56</v>
      </c>
      <c r="M17" s="34">
        <f t="shared" si="79"/>
        <v>381</v>
      </c>
      <c r="N17" s="34">
        <f t="shared" si="15"/>
        <v>151</v>
      </c>
      <c r="O17" s="32">
        <f t="shared" si="16"/>
        <v>117</v>
      </c>
      <c r="P17" s="34">
        <f t="shared" si="17"/>
        <v>264</v>
      </c>
      <c r="Q17" s="35">
        <f t="shared" si="18"/>
        <v>2734</v>
      </c>
      <c r="R17" s="181">
        <v>3171</v>
      </c>
      <c r="S17" s="34">
        <f t="shared" si="19"/>
        <v>56</v>
      </c>
      <c r="T17" s="34">
        <f t="shared" si="20"/>
        <v>381</v>
      </c>
      <c r="U17" s="34">
        <f t="shared" si="21"/>
        <v>151</v>
      </c>
      <c r="V17" s="32">
        <f t="shared" si="22"/>
        <v>117</v>
      </c>
      <c r="W17" s="34">
        <f t="shared" si="23"/>
        <v>264</v>
      </c>
      <c r="X17" s="35">
        <f t="shared" si="24"/>
        <v>2734</v>
      </c>
      <c r="Y17" s="181">
        <v>3171</v>
      </c>
      <c r="Z17" s="34">
        <f t="shared" si="25"/>
        <v>56</v>
      </c>
      <c r="AA17" s="34">
        <f t="shared" si="26"/>
        <v>381</v>
      </c>
      <c r="AB17" s="34">
        <f t="shared" si="27"/>
        <v>151</v>
      </c>
      <c r="AC17" s="32">
        <f t="shared" si="28"/>
        <v>117</v>
      </c>
      <c r="AD17" s="34">
        <f t="shared" si="29"/>
        <v>264</v>
      </c>
      <c r="AE17" s="35">
        <f t="shared" si="30"/>
        <v>2734</v>
      </c>
      <c r="AF17" s="181">
        <v>3322</v>
      </c>
      <c r="AG17" s="34">
        <f t="shared" si="31"/>
        <v>59</v>
      </c>
      <c r="AH17" s="34">
        <f t="shared" si="32"/>
        <v>399</v>
      </c>
      <c r="AI17" s="34">
        <f t="shared" si="33"/>
        <v>158</v>
      </c>
      <c r="AJ17" s="32">
        <f t="shared" si="34"/>
        <v>122</v>
      </c>
      <c r="AK17" s="34">
        <f t="shared" si="35"/>
        <v>277</v>
      </c>
      <c r="AL17" s="35">
        <f t="shared" si="36"/>
        <v>2864</v>
      </c>
      <c r="AM17" s="181">
        <v>3322</v>
      </c>
      <c r="AN17" s="34">
        <f t="shared" si="37"/>
        <v>59</v>
      </c>
      <c r="AO17" s="34">
        <f t="shared" si="38"/>
        <v>399</v>
      </c>
      <c r="AP17" s="34">
        <f t="shared" si="39"/>
        <v>158</v>
      </c>
      <c r="AQ17" s="32">
        <f t="shared" si="40"/>
        <v>122</v>
      </c>
      <c r="AR17" s="34">
        <f t="shared" si="41"/>
        <v>277</v>
      </c>
      <c r="AS17" s="35">
        <f t="shared" si="42"/>
        <v>2864</v>
      </c>
      <c r="AT17" s="181">
        <v>3322</v>
      </c>
      <c r="AU17" s="34">
        <f t="shared" si="43"/>
        <v>59</v>
      </c>
      <c r="AV17" s="34">
        <f t="shared" si="44"/>
        <v>399</v>
      </c>
      <c r="AW17" s="34">
        <f t="shared" si="45"/>
        <v>158</v>
      </c>
      <c r="AX17" s="32">
        <f t="shared" si="46"/>
        <v>122</v>
      </c>
      <c r="AY17" s="34">
        <f t="shared" si="47"/>
        <v>277</v>
      </c>
      <c r="AZ17" s="35">
        <f t="shared" si="48"/>
        <v>2864</v>
      </c>
      <c r="BA17" s="181">
        <v>3322</v>
      </c>
      <c r="BB17" s="34">
        <f t="shared" si="49"/>
        <v>59</v>
      </c>
      <c r="BC17" s="34">
        <f t="shared" si="50"/>
        <v>399</v>
      </c>
      <c r="BD17" s="34">
        <f t="shared" si="51"/>
        <v>158</v>
      </c>
      <c r="BE17" s="32">
        <f t="shared" si="52"/>
        <v>122</v>
      </c>
      <c r="BF17" s="34">
        <f t="shared" si="53"/>
        <v>277</v>
      </c>
      <c r="BG17" s="35">
        <f t="shared" si="54"/>
        <v>2864</v>
      </c>
      <c r="BH17" s="181"/>
      <c r="BI17" s="34">
        <f t="shared" si="55"/>
        <v>0</v>
      </c>
      <c r="BJ17" s="34">
        <f t="shared" si="56"/>
        <v>0</v>
      </c>
      <c r="BK17" s="34">
        <f t="shared" si="57"/>
        <v>0</v>
      </c>
      <c r="BL17" s="32">
        <f t="shared" si="58"/>
        <v>0</v>
      </c>
      <c r="BM17" s="34">
        <f t="shared" si="59"/>
        <v>0</v>
      </c>
      <c r="BN17" s="35">
        <f t="shared" si="60"/>
        <v>0</v>
      </c>
      <c r="BO17" s="181"/>
      <c r="BP17" s="34">
        <f t="shared" si="61"/>
        <v>0</v>
      </c>
      <c r="BQ17" s="34">
        <f t="shared" si="62"/>
        <v>0</v>
      </c>
      <c r="BR17" s="34">
        <f t="shared" si="63"/>
        <v>0</v>
      </c>
      <c r="BS17" s="32">
        <f t="shared" si="64"/>
        <v>0</v>
      </c>
      <c r="BT17" s="34">
        <f t="shared" si="65"/>
        <v>0</v>
      </c>
      <c r="BU17" s="35">
        <f t="shared" si="66"/>
        <v>0</v>
      </c>
      <c r="BV17" s="181"/>
      <c r="BW17" s="34">
        <f t="shared" si="67"/>
        <v>0</v>
      </c>
      <c r="BX17" s="34">
        <f t="shared" si="68"/>
        <v>0</v>
      </c>
      <c r="BY17" s="34">
        <f t="shared" si="69"/>
        <v>0</v>
      </c>
      <c r="BZ17" s="32">
        <f t="shared" si="70"/>
        <v>0</v>
      </c>
      <c r="CA17" s="34">
        <f t="shared" si="71"/>
        <v>0</v>
      </c>
      <c r="CB17" s="35">
        <f t="shared" si="72"/>
        <v>0</v>
      </c>
      <c r="CC17" s="181"/>
      <c r="CD17" s="34">
        <f t="shared" si="73"/>
        <v>0</v>
      </c>
      <c r="CE17" s="34">
        <f t="shared" si="74"/>
        <v>0</v>
      </c>
      <c r="CF17" s="34">
        <f t="shared" si="75"/>
        <v>0</v>
      </c>
      <c r="CG17" s="32">
        <f t="shared" si="76"/>
        <v>0</v>
      </c>
      <c r="CH17" s="34">
        <f t="shared" si="77"/>
        <v>0</v>
      </c>
      <c r="CI17" s="35">
        <f t="shared" si="78"/>
        <v>0</v>
      </c>
      <c r="CJ17" s="32">
        <f t="shared" si="1"/>
        <v>25951</v>
      </c>
      <c r="CK17" s="32">
        <f t="shared" si="2"/>
        <v>460</v>
      </c>
      <c r="CL17" s="32">
        <f t="shared" si="3"/>
        <v>3117</v>
      </c>
      <c r="CM17" s="32">
        <f t="shared" si="4"/>
        <v>1235</v>
      </c>
      <c r="CN17" s="32">
        <f t="shared" si="5"/>
        <v>955</v>
      </c>
      <c r="CO17" s="32">
        <f t="shared" si="6"/>
        <v>2162</v>
      </c>
      <c r="CP17" s="32">
        <f t="shared" si="7"/>
        <v>22374</v>
      </c>
    </row>
    <row r="18" spans="1:94">
      <c r="A18" s="186" t="s">
        <v>98</v>
      </c>
      <c r="B18" s="180"/>
      <c r="C18" s="181"/>
      <c r="D18" s="181">
        <v>3000</v>
      </c>
      <c r="E18" s="34">
        <f t="shared" si="8"/>
        <v>53</v>
      </c>
      <c r="F18" s="34">
        <f t="shared" si="9"/>
        <v>360</v>
      </c>
      <c r="G18" s="34">
        <f t="shared" si="10"/>
        <v>143</v>
      </c>
      <c r="H18" s="32">
        <f t="shared" si="11"/>
        <v>110</v>
      </c>
      <c r="I18" s="34">
        <f t="shared" si="12"/>
        <v>250</v>
      </c>
      <c r="J18" s="35">
        <f t="shared" si="13"/>
        <v>2587</v>
      </c>
      <c r="K18" s="181">
        <v>3000</v>
      </c>
      <c r="L18" s="34">
        <f t="shared" si="14"/>
        <v>53</v>
      </c>
      <c r="M18" s="34">
        <f t="shared" si="79"/>
        <v>360</v>
      </c>
      <c r="N18" s="34">
        <f t="shared" si="15"/>
        <v>143</v>
      </c>
      <c r="O18" s="32">
        <f t="shared" si="16"/>
        <v>110</v>
      </c>
      <c r="P18" s="34">
        <f t="shared" si="17"/>
        <v>250</v>
      </c>
      <c r="Q18" s="35">
        <f t="shared" si="18"/>
        <v>2587</v>
      </c>
      <c r="R18" s="181">
        <v>3000</v>
      </c>
      <c r="S18" s="34">
        <f t="shared" si="19"/>
        <v>53</v>
      </c>
      <c r="T18" s="34">
        <f t="shared" si="20"/>
        <v>360</v>
      </c>
      <c r="U18" s="34">
        <f t="shared" si="21"/>
        <v>143</v>
      </c>
      <c r="V18" s="32">
        <f t="shared" si="22"/>
        <v>110</v>
      </c>
      <c r="W18" s="34">
        <f t="shared" si="23"/>
        <v>250</v>
      </c>
      <c r="X18" s="35">
        <f t="shared" si="24"/>
        <v>2587</v>
      </c>
      <c r="Y18" s="181">
        <v>3000</v>
      </c>
      <c r="Z18" s="34">
        <f t="shared" si="25"/>
        <v>53</v>
      </c>
      <c r="AA18" s="34">
        <f t="shared" si="26"/>
        <v>360</v>
      </c>
      <c r="AB18" s="34">
        <f t="shared" si="27"/>
        <v>143</v>
      </c>
      <c r="AC18" s="32">
        <f t="shared" si="28"/>
        <v>110</v>
      </c>
      <c r="AD18" s="34">
        <f t="shared" si="29"/>
        <v>250</v>
      </c>
      <c r="AE18" s="35">
        <f t="shared" si="30"/>
        <v>2587</v>
      </c>
      <c r="AF18" s="181">
        <v>3000</v>
      </c>
      <c r="AG18" s="34">
        <f t="shared" si="31"/>
        <v>53</v>
      </c>
      <c r="AH18" s="34">
        <f t="shared" si="32"/>
        <v>360</v>
      </c>
      <c r="AI18" s="34">
        <f t="shared" si="33"/>
        <v>143</v>
      </c>
      <c r="AJ18" s="32">
        <f t="shared" si="34"/>
        <v>110</v>
      </c>
      <c r="AK18" s="34">
        <f t="shared" si="35"/>
        <v>250</v>
      </c>
      <c r="AL18" s="35">
        <f t="shared" si="36"/>
        <v>2587</v>
      </c>
      <c r="AM18" s="181">
        <v>3000</v>
      </c>
      <c r="AN18" s="34">
        <f t="shared" si="37"/>
        <v>53</v>
      </c>
      <c r="AO18" s="34">
        <f t="shared" si="38"/>
        <v>360</v>
      </c>
      <c r="AP18" s="34">
        <f t="shared" si="39"/>
        <v>143</v>
      </c>
      <c r="AQ18" s="32">
        <f t="shared" si="40"/>
        <v>110</v>
      </c>
      <c r="AR18" s="34">
        <f t="shared" si="41"/>
        <v>250</v>
      </c>
      <c r="AS18" s="35">
        <f t="shared" si="42"/>
        <v>2587</v>
      </c>
      <c r="AT18" s="181">
        <v>3000</v>
      </c>
      <c r="AU18" s="34">
        <f t="shared" si="43"/>
        <v>53</v>
      </c>
      <c r="AV18" s="34">
        <f t="shared" si="44"/>
        <v>360</v>
      </c>
      <c r="AW18" s="34">
        <f t="shared" si="45"/>
        <v>143</v>
      </c>
      <c r="AX18" s="32">
        <f t="shared" si="46"/>
        <v>110</v>
      </c>
      <c r="AY18" s="34">
        <f t="shared" si="47"/>
        <v>250</v>
      </c>
      <c r="AZ18" s="35">
        <f t="shared" si="48"/>
        <v>2587</v>
      </c>
      <c r="BA18" s="181">
        <v>2114</v>
      </c>
      <c r="BB18" s="34">
        <f t="shared" si="49"/>
        <v>37</v>
      </c>
      <c r="BC18" s="34">
        <f t="shared" si="50"/>
        <v>254</v>
      </c>
      <c r="BD18" s="34">
        <f t="shared" si="51"/>
        <v>101</v>
      </c>
      <c r="BE18" s="32">
        <f t="shared" si="52"/>
        <v>78</v>
      </c>
      <c r="BF18" s="34">
        <f t="shared" si="53"/>
        <v>176</v>
      </c>
      <c r="BG18" s="35">
        <f t="shared" si="54"/>
        <v>1823</v>
      </c>
      <c r="BH18" s="181"/>
      <c r="BI18" s="34">
        <f t="shared" si="55"/>
        <v>0</v>
      </c>
      <c r="BJ18" s="34">
        <f t="shared" si="56"/>
        <v>0</v>
      </c>
      <c r="BK18" s="34">
        <f t="shared" si="57"/>
        <v>0</v>
      </c>
      <c r="BL18" s="32">
        <f t="shared" si="58"/>
        <v>0</v>
      </c>
      <c r="BM18" s="34">
        <f t="shared" si="59"/>
        <v>0</v>
      </c>
      <c r="BN18" s="35">
        <f t="shared" si="60"/>
        <v>0</v>
      </c>
      <c r="BO18" s="181"/>
      <c r="BP18" s="34">
        <f t="shared" si="61"/>
        <v>0</v>
      </c>
      <c r="BQ18" s="34">
        <f t="shared" si="62"/>
        <v>0</v>
      </c>
      <c r="BR18" s="34">
        <f t="shared" si="63"/>
        <v>0</v>
      </c>
      <c r="BS18" s="32">
        <f t="shared" si="64"/>
        <v>0</v>
      </c>
      <c r="BT18" s="34">
        <f t="shared" si="65"/>
        <v>0</v>
      </c>
      <c r="BU18" s="35">
        <f t="shared" si="66"/>
        <v>0</v>
      </c>
      <c r="BV18" s="181"/>
      <c r="BW18" s="34">
        <f t="shared" si="67"/>
        <v>0</v>
      </c>
      <c r="BX18" s="34">
        <f t="shared" si="68"/>
        <v>0</v>
      </c>
      <c r="BY18" s="34">
        <f t="shared" si="69"/>
        <v>0</v>
      </c>
      <c r="BZ18" s="32">
        <f t="shared" si="70"/>
        <v>0</v>
      </c>
      <c r="CA18" s="34">
        <f t="shared" si="71"/>
        <v>0</v>
      </c>
      <c r="CB18" s="35">
        <f t="shared" si="72"/>
        <v>0</v>
      </c>
      <c r="CC18" s="181"/>
      <c r="CD18" s="34">
        <f t="shared" si="73"/>
        <v>0</v>
      </c>
      <c r="CE18" s="34">
        <f t="shared" si="74"/>
        <v>0</v>
      </c>
      <c r="CF18" s="34">
        <f t="shared" si="75"/>
        <v>0</v>
      </c>
      <c r="CG18" s="32">
        <f t="shared" si="76"/>
        <v>0</v>
      </c>
      <c r="CH18" s="34">
        <f t="shared" si="77"/>
        <v>0</v>
      </c>
      <c r="CI18" s="35">
        <f t="shared" si="78"/>
        <v>0</v>
      </c>
      <c r="CJ18" s="32">
        <f t="shared" si="1"/>
        <v>23114</v>
      </c>
      <c r="CK18" s="32">
        <f t="shared" si="2"/>
        <v>408</v>
      </c>
      <c r="CL18" s="32">
        <f t="shared" si="3"/>
        <v>2774</v>
      </c>
      <c r="CM18" s="32">
        <f t="shared" si="4"/>
        <v>1102</v>
      </c>
      <c r="CN18" s="32">
        <f t="shared" si="5"/>
        <v>848</v>
      </c>
      <c r="CO18" s="32">
        <f t="shared" si="6"/>
        <v>1926</v>
      </c>
      <c r="CP18" s="32">
        <f t="shared" si="7"/>
        <v>19932</v>
      </c>
    </row>
    <row r="19" spans="1:94">
      <c r="A19" s="186" t="s">
        <v>99</v>
      </c>
      <c r="B19" s="180"/>
      <c r="C19" s="181"/>
      <c r="D19" s="181">
        <v>3150</v>
      </c>
      <c r="E19" s="34">
        <f t="shared" si="8"/>
        <v>56</v>
      </c>
      <c r="F19" s="34">
        <f t="shared" si="9"/>
        <v>378</v>
      </c>
      <c r="G19" s="34">
        <f t="shared" si="10"/>
        <v>150</v>
      </c>
      <c r="H19" s="32">
        <f t="shared" si="11"/>
        <v>116</v>
      </c>
      <c r="I19" s="34">
        <f t="shared" si="12"/>
        <v>262</v>
      </c>
      <c r="J19" s="35">
        <f t="shared" si="13"/>
        <v>2716</v>
      </c>
      <c r="K19" s="181">
        <v>3171</v>
      </c>
      <c r="L19" s="34">
        <f t="shared" si="14"/>
        <v>56</v>
      </c>
      <c r="M19" s="34">
        <f t="shared" si="79"/>
        <v>381</v>
      </c>
      <c r="N19" s="34">
        <f t="shared" si="15"/>
        <v>151</v>
      </c>
      <c r="O19" s="32">
        <f t="shared" si="16"/>
        <v>117</v>
      </c>
      <c r="P19" s="34">
        <f t="shared" si="17"/>
        <v>264</v>
      </c>
      <c r="Q19" s="35">
        <f t="shared" si="18"/>
        <v>2734</v>
      </c>
      <c r="R19" s="181">
        <v>3171</v>
      </c>
      <c r="S19" s="34">
        <f t="shared" si="19"/>
        <v>56</v>
      </c>
      <c r="T19" s="34">
        <f t="shared" si="20"/>
        <v>381</v>
      </c>
      <c r="U19" s="34">
        <f t="shared" si="21"/>
        <v>151</v>
      </c>
      <c r="V19" s="32">
        <f t="shared" si="22"/>
        <v>117</v>
      </c>
      <c r="W19" s="34">
        <f t="shared" si="23"/>
        <v>264</v>
      </c>
      <c r="X19" s="35">
        <f t="shared" si="24"/>
        <v>2734</v>
      </c>
      <c r="Y19" s="181">
        <v>3171</v>
      </c>
      <c r="Z19" s="34">
        <f t="shared" si="25"/>
        <v>56</v>
      </c>
      <c r="AA19" s="34">
        <f t="shared" si="26"/>
        <v>381</v>
      </c>
      <c r="AB19" s="34">
        <f t="shared" si="27"/>
        <v>151</v>
      </c>
      <c r="AC19" s="32">
        <f t="shared" si="28"/>
        <v>117</v>
      </c>
      <c r="AD19" s="34">
        <f t="shared" si="29"/>
        <v>264</v>
      </c>
      <c r="AE19" s="35">
        <f t="shared" si="30"/>
        <v>2734</v>
      </c>
      <c r="AF19" s="181">
        <v>3322</v>
      </c>
      <c r="AG19" s="34">
        <f t="shared" si="31"/>
        <v>59</v>
      </c>
      <c r="AH19" s="34">
        <f t="shared" si="32"/>
        <v>399</v>
      </c>
      <c r="AI19" s="34">
        <f t="shared" si="33"/>
        <v>158</v>
      </c>
      <c r="AJ19" s="32">
        <f t="shared" si="34"/>
        <v>122</v>
      </c>
      <c r="AK19" s="34">
        <f t="shared" si="35"/>
        <v>277</v>
      </c>
      <c r="AL19" s="35">
        <f t="shared" si="36"/>
        <v>2864</v>
      </c>
      <c r="AM19" s="181">
        <v>3473</v>
      </c>
      <c r="AN19" s="34">
        <f t="shared" si="37"/>
        <v>61</v>
      </c>
      <c r="AO19" s="34">
        <f t="shared" si="38"/>
        <v>417</v>
      </c>
      <c r="AP19" s="34">
        <f t="shared" si="39"/>
        <v>165</v>
      </c>
      <c r="AQ19" s="32">
        <f t="shared" si="40"/>
        <v>128</v>
      </c>
      <c r="AR19" s="34">
        <f t="shared" si="41"/>
        <v>289</v>
      </c>
      <c r="AS19" s="35">
        <f t="shared" si="42"/>
        <v>2995</v>
      </c>
      <c r="AT19" s="181">
        <v>3473</v>
      </c>
      <c r="AU19" s="34">
        <f t="shared" si="43"/>
        <v>61</v>
      </c>
      <c r="AV19" s="34">
        <f t="shared" si="44"/>
        <v>417</v>
      </c>
      <c r="AW19" s="34">
        <f t="shared" si="45"/>
        <v>165</v>
      </c>
      <c r="AX19" s="32">
        <f t="shared" si="46"/>
        <v>128</v>
      </c>
      <c r="AY19" s="34">
        <f t="shared" si="47"/>
        <v>289</v>
      </c>
      <c r="AZ19" s="35">
        <f t="shared" si="48"/>
        <v>2995</v>
      </c>
      <c r="BA19" s="181">
        <v>3000</v>
      </c>
      <c r="BB19" s="34">
        <f t="shared" si="49"/>
        <v>53</v>
      </c>
      <c r="BC19" s="34">
        <f t="shared" si="50"/>
        <v>360</v>
      </c>
      <c r="BD19" s="34">
        <f t="shared" si="51"/>
        <v>143</v>
      </c>
      <c r="BE19" s="32">
        <f t="shared" si="52"/>
        <v>110</v>
      </c>
      <c r="BF19" s="34">
        <f t="shared" si="53"/>
        <v>250</v>
      </c>
      <c r="BG19" s="35">
        <f t="shared" si="54"/>
        <v>2587</v>
      </c>
      <c r="BH19" s="181"/>
      <c r="BI19" s="34">
        <f t="shared" si="55"/>
        <v>0</v>
      </c>
      <c r="BJ19" s="34">
        <f t="shared" si="56"/>
        <v>0</v>
      </c>
      <c r="BK19" s="34">
        <f t="shared" si="57"/>
        <v>0</v>
      </c>
      <c r="BL19" s="32">
        <f t="shared" si="58"/>
        <v>0</v>
      </c>
      <c r="BM19" s="34">
        <f t="shared" si="59"/>
        <v>0</v>
      </c>
      <c r="BN19" s="35">
        <f t="shared" si="60"/>
        <v>0</v>
      </c>
      <c r="BO19" s="181"/>
      <c r="BP19" s="34">
        <f t="shared" si="61"/>
        <v>0</v>
      </c>
      <c r="BQ19" s="34">
        <f t="shared" si="62"/>
        <v>0</v>
      </c>
      <c r="BR19" s="34">
        <f t="shared" si="63"/>
        <v>0</v>
      </c>
      <c r="BS19" s="32">
        <f t="shared" si="64"/>
        <v>0</v>
      </c>
      <c r="BT19" s="34">
        <f t="shared" si="65"/>
        <v>0</v>
      </c>
      <c r="BU19" s="35">
        <f t="shared" si="66"/>
        <v>0</v>
      </c>
      <c r="BV19" s="181"/>
      <c r="BW19" s="34">
        <f t="shared" si="67"/>
        <v>0</v>
      </c>
      <c r="BX19" s="34">
        <f t="shared" si="68"/>
        <v>0</v>
      </c>
      <c r="BY19" s="34">
        <f t="shared" si="69"/>
        <v>0</v>
      </c>
      <c r="BZ19" s="32">
        <f t="shared" si="70"/>
        <v>0</v>
      </c>
      <c r="CA19" s="34">
        <f t="shared" si="71"/>
        <v>0</v>
      </c>
      <c r="CB19" s="35">
        <f t="shared" si="72"/>
        <v>0</v>
      </c>
      <c r="CC19" s="181"/>
      <c r="CD19" s="34">
        <f t="shared" si="73"/>
        <v>0</v>
      </c>
      <c r="CE19" s="34">
        <f t="shared" si="74"/>
        <v>0</v>
      </c>
      <c r="CF19" s="34">
        <f t="shared" si="75"/>
        <v>0</v>
      </c>
      <c r="CG19" s="32">
        <f t="shared" si="76"/>
        <v>0</v>
      </c>
      <c r="CH19" s="34">
        <f t="shared" si="77"/>
        <v>0</v>
      </c>
      <c r="CI19" s="35">
        <f t="shared" si="78"/>
        <v>0</v>
      </c>
      <c r="CJ19" s="32">
        <f t="shared" si="1"/>
        <v>25931</v>
      </c>
      <c r="CK19" s="32">
        <f t="shared" si="2"/>
        <v>458</v>
      </c>
      <c r="CL19" s="32">
        <f t="shared" si="3"/>
        <v>3114</v>
      </c>
      <c r="CM19" s="32">
        <f t="shared" si="4"/>
        <v>1234</v>
      </c>
      <c r="CN19" s="32">
        <f t="shared" si="5"/>
        <v>955</v>
      </c>
      <c r="CO19" s="32">
        <f t="shared" si="6"/>
        <v>2159</v>
      </c>
      <c r="CP19" s="32">
        <f t="shared" si="7"/>
        <v>22359</v>
      </c>
    </row>
    <row r="20" spans="1:94">
      <c r="A20" s="186" t="s">
        <v>100</v>
      </c>
      <c r="B20" s="180"/>
      <c r="C20" s="181"/>
      <c r="D20" s="181">
        <v>5500</v>
      </c>
      <c r="E20" s="34">
        <f t="shared" si="8"/>
        <v>97</v>
      </c>
      <c r="F20" s="34">
        <f t="shared" si="9"/>
        <v>660</v>
      </c>
      <c r="G20" s="34">
        <f t="shared" si="10"/>
        <v>262</v>
      </c>
      <c r="H20" s="32">
        <f t="shared" si="11"/>
        <v>202</v>
      </c>
      <c r="I20" s="34">
        <f t="shared" si="12"/>
        <v>458</v>
      </c>
      <c r="J20" s="35">
        <f t="shared" si="13"/>
        <v>4743</v>
      </c>
      <c r="K20" s="181">
        <v>5500</v>
      </c>
      <c r="L20" s="34">
        <f t="shared" si="14"/>
        <v>97</v>
      </c>
      <c r="M20" s="34">
        <f t="shared" si="79"/>
        <v>660</v>
      </c>
      <c r="N20" s="34">
        <f t="shared" si="15"/>
        <v>262</v>
      </c>
      <c r="O20" s="32">
        <f t="shared" si="16"/>
        <v>202</v>
      </c>
      <c r="P20" s="34">
        <f t="shared" si="17"/>
        <v>458</v>
      </c>
      <c r="Q20" s="35">
        <f t="shared" si="18"/>
        <v>4743</v>
      </c>
      <c r="R20" s="181">
        <v>5500</v>
      </c>
      <c r="S20" s="34">
        <f t="shared" si="19"/>
        <v>97</v>
      </c>
      <c r="T20" s="34">
        <f t="shared" si="20"/>
        <v>660</v>
      </c>
      <c r="U20" s="34">
        <f t="shared" si="21"/>
        <v>262</v>
      </c>
      <c r="V20" s="32">
        <f t="shared" si="22"/>
        <v>202</v>
      </c>
      <c r="W20" s="34">
        <f t="shared" si="23"/>
        <v>458</v>
      </c>
      <c r="X20" s="35">
        <f t="shared" si="24"/>
        <v>4743</v>
      </c>
      <c r="Y20" s="181">
        <v>5500</v>
      </c>
      <c r="Z20" s="34">
        <f t="shared" si="25"/>
        <v>97</v>
      </c>
      <c r="AA20" s="34">
        <f t="shared" si="26"/>
        <v>660</v>
      </c>
      <c r="AB20" s="34">
        <f t="shared" si="27"/>
        <v>262</v>
      </c>
      <c r="AC20" s="32">
        <f t="shared" si="28"/>
        <v>202</v>
      </c>
      <c r="AD20" s="34">
        <f t="shared" si="29"/>
        <v>458</v>
      </c>
      <c r="AE20" s="35">
        <f t="shared" si="30"/>
        <v>4743</v>
      </c>
      <c r="AF20" s="181">
        <v>5500</v>
      </c>
      <c r="AG20" s="34">
        <f t="shared" si="31"/>
        <v>97</v>
      </c>
      <c r="AH20" s="34">
        <f t="shared" si="32"/>
        <v>660</v>
      </c>
      <c r="AI20" s="34">
        <f t="shared" si="33"/>
        <v>262</v>
      </c>
      <c r="AJ20" s="32">
        <f t="shared" si="34"/>
        <v>202</v>
      </c>
      <c r="AK20" s="34">
        <f t="shared" si="35"/>
        <v>458</v>
      </c>
      <c r="AL20" s="35">
        <f t="shared" si="36"/>
        <v>4743</v>
      </c>
      <c r="AM20" s="181">
        <v>5500</v>
      </c>
      <c r="AN20" s="34">
        <f t="shared" si="37"/>
        <v>97</v>
      </c>
      <c r="AO20" s="34">
        <f t="shared" si="38"/>
        <v>660</v>
      </c>
      <c r="AP20" s="34">
        <f t="shared" si="39"/>
        <v>262</v>
      </c>
      <c r="AQ20" s="32">
        <f t="shared" si="40"/>
        <v>202</v>
      </c>
      <c r="AR20" s="34">
        <f t="shared" si="41"/>
        <v>458</v>
      </c>
      <c r="AS20" s="35">
        <f t="shared" si="42"/>
        <v>4743</v>
      </c>
      <c r="AT20" s="181">
        <v>5500</v>
      </c>
      <c r="AU20" s="34">
        <f t="shared" si="43"/>
        <v>97</v>
      </c>
      <c r="AV20" s="34">
        <f t="shared" si="44"/>
        <v>660</v>
      </c>
      <c r="AW20" s="34">
        <f t="shared" si="45"/>
        <v>262</v>
      </c>
      <c r="AX20" s="32">
        <f t="shared" si="46"/>
        <v>202</v>
      </c>
      <c r="AY20" s="34">
        <f t="shared" si="47"/>
        <v>458</v>
      </c>
      <c r="AZ20" s="35">
        <f t="shared" si="48"/>
        <v>4743</v>
      </c>
      <c r="BA20" s="181">
        <v>5500</v>
      </c>
      <c r="BB20" s="34">
        <f t="shared" si="49"/>
        <v>97</v>
      </c>
      <c r="BC20" s="34">
        <f t="shared" si="50"/>
        <v>660</v>
      </c>
      <c r="BD20" s="34">
        <f t="shared" si="51"/>
        <v>262</v>
      </c>
      <c r="BE20" s="32">
        <f t="shared" si="52"/>
        <v>202</v>
      </c>
      <c r="BF20" s="34">
        <f t="shared" si="53"/>
        <v>458</v>
      </c>
      <c r="BG20" s="35">
        <f t="shared" si="54"/>
        <v>4743</v>
      </c>
      <c r="BH20" s="181"/>
      <c r="BI20" s="34">
        <f t="shared" si="55"/>
        <v>0</v>
      </c>
      <c r="BJ20" s="34">
        <f t="shared" si="56"/>
        <v>0</v>
      </c>
      <c r="BK20" s="34">
        <f t="shared" si="57"/>
        <v>0</v>
      </c>
      <c r="BL20" s="32">
        <f t="shared" si="58"/>
        <v>0</v>
      </c>
      <c r="BM20" s="34">
        <f t="shared" si="59"/>
        <v>0</v>
      </c>
      <c r="BN20" s="35">
        <f t="shared" si="60"/>
        <v>0</v>
      </c>
      <c r="BO20" s="181"/>
      <c r="BP20" s="34">
        <f t="shared" si="61"/>
        <v>0</v>
      </c>
      <c r="BQ20" s="34">
        <f t="shared" si="62"/>
        <v>0</v>
      </c>
      <c r="BR20" s="34">
        <f t="shared" si="63"/>
        <v>0</v>
      </c>
      <c r="BS20" s="32">
        <f t="shared" si="64"/>
        <v>0</v>
      </c>
      <c r="BT20" s="34">
        <f t="shared" si="65"/>
        <v>0</v>
      </c>
      <c r="BU20" s="35">
        <f t="shared" si="66"/>
        <v>0</v>
      </c>
      <c r="BV20" s="181"/>
      <c r="BW20" s="34">
        <f t="shared" si="67"/>
        <v>0</v>
      </c>
      <c r="BX20" s="34">
        <f t="shared" si="68"/>
        <v>0</v>
      </c>
      <c r="BY20" s="34">
        <f t="shared" si="69"/>
        <v>0</v>
      </c>
      <c r="BZ20" s="32">
        <f t="shared" si="70"/>
        <v>0</v>
      </c>
      <c r="CA20" s="34">
        <f t="shared" si="71"/>
        <v>0</v>
      </c>
      <c r="CB20" s="35">
        <f t="shared" si="72"/>
        <v>0</v>
      </c>
      <c r="CC20" s="181"/>
      <c r="CD20" s="34">
        <f t="shared" si="73"/>
        <v>0</v>
      </c>
      <c r="CE20" s="34">
        <f t="shared" si="74"/>
        <v>0</v>
      </c>
      <c r="CF20" s="34">
        <f t="shared" si="75"/>
        <v>0</v>
      </c>
      <c r="CG20" s="32">
        <f t="shared" si="76"/>
        <v>0</v>
      </c>
      <c r="CH20" s="34">
        <f t="shared" si="77"/>
        <v>0</v>
      </c>
      <c r="CI20" s="35">
        <f t="shared" si="78"/>
        <v>0</v>
      </c>
      <c r="CJ20" s="32">
        <f t="shared" si="1"/>
        <v>44000</v>
      </c>
      <c r="CK20" s="32">
        <f t="shared" si="2"/>
        <v>776</v>
      </c>
      <c r="CL20" s="32">
        <f t="shared" si="3"/>
        <v>5280</v>
      </c>
      <c r="CM20" s="32">
        <f t="shared" si="4"/>
        <v>2096</v>
      </c>
      <c r="CN20" s="32">
        <f t="shared" si="5"/>
        <v>1616</v>
      </c>
      <c r="CO20" s="32">
        <f t="shared" si="6"/>
        <v>3664</v>
      </c>
      <c r="CP20" s="32">
        <f t="shared" si="7"/>
        <v>37944</v>
      </c>
    </row>
    <row r="21" spans="1:94">
      <c r="A21" s="186" t="s">
        <v>101</v>
      </c>
      <c r="B21" s="180"/>
      <c r="C21" s="181"/>
      <c r="D21" s="181">
        <v>6000</v>
      </c>
      <c r="E21" s="34">
        <f t="shared" si="8"/>
        <v>105</v>
      </c>
      <c r="F21" s="34">
        <f t="shared" si="9"/>
        <v>720</v>
      </c>
      <c r="G21" s="34">
        <f t="shared" si="10"/>
        <v>285</v>
      </c>
      <c r="H21" s="32">
        <f t="shared" si="11"/>
        <v>220</v>
      </c>
      <c r="I21" s="34">
        <f t="shared" si="12"/>
        <v>500</v>
      </c>
      <c r="J21" s="35">
        <f t="shared" si="13"/>
        <v>5175</v>
      </c>
      <c r="K21" s="181">
        <v>6000</v>
      </c>
      <c r="L21" s="34">
        <f t="shared" si="14"/>
        <v>105</v>
      </c>
      <c r="M21" s="34">
        <f t="shared" si="79"/>
        <v>720</v>
      </c>
      <c r="N21" s="34">
        <f t="shared" si="15"/>
        <v>285</v>
      </c>
      <c r="O21" s="32">
        <f t="shared" si="16"/>
        <v>220</v>
      </c>
      <c r="P21" s="34">
        <f t="shared" si="17"/>
        <v>500</v>
      </c>
      <c r="Q21" s="35">
        <f t="shared" si="18"/>
        <v>5175</v>
      </c>
      <c r="R21" s="181">
        <v>6000</v>
      </c>
      <c r="S21" s="34">
        <f t="shared" si="19"/>
        <v>105</v>
      </c>
      <c r="T21" s="34">
        <f t="shared" si="20"/>
        <v>720</v>
      </c>
      <c r="U21" s="34">
        <f t="shared" si="21"/>
        <v>285</v>
      </c>
      <c r="V21" s="32">
        <f t="shared" si="22"/>
        <v>220</v>
      </c>
      <c r="W21" s="34">
        <f t="shared" si="23"/>
        <v>500</v>
      </c>
      <c r="X21" s="35">
        <f t="shared" si="24"/>
        <v>5175</v>
      </c>
      <c r="Y21" s="181">
        <v>6000</v>
      </c>
      <c r="Z21" s="34">
        <f t="shared" si="25"/>
        <v>105</v>
      </c>
      <c r="AA21" s="34">
        <f t="shared" si="26"/>
        <v>720</v>
      </c>
      <c r="AB21" s="34">
        <f t="shared" si="27"/>
        <v>285</v>
      </c>
      <c r="AC21" s="32">
        <f t="shared" si="28"/>
        <v>220</v>
      </c>
      <c r="AD21" s="34">
        <f t="shared" si="29"/>
        <v>500</v>
      </c>
      <c r="AE21" s="35">
        <f t="shared" si="30"/>
        <v>5175</v>
      </c>
      <c r="AF21" s="181">
        <v>6000</v>
      </c>
      <c r="AG21" s="34">
        <f t="shared" si="31"/>
        <v>105</v>
      </c>
      <c r="AH21" s="34">
        <f t="shared" si="32"/>
        <v>720</v>
      </c>
      <c r="AI21" s="34">
        <f t="shared" si="33"/>
        <v>285</v>
      </c>
      <c r="AJ21" s="32">
        <f t="shared" si="34"/>
        <v>220</v>
      </c>
      <c r="AK21" s="34">
        <f t="shared" si="35"/>
        <v>500</v>
      </c>
      <c r="AL21" s="35">
        <f t="shared" si="36"/>
        <v>5175</v>
      </c>
      <c r="AM21" s="181">
        <v>6000</v>
      </c>
      <c r="AN21" s="34">
        <f t="shared" si="37"/>
        <v>105</v>
      </c>
      <c r="AO21" s="34">
        <f t="shared" si="38"/>
        <v>720</v>
      </c>
      <c r="AP21" s="34">
        <f t="shared" si="39"/>
        <v>285</v>
      </c>
      <c r="AQ21" s="32">
        <f t="shared" si="40"/>
        <v>220</v>
      </c>
      <c r="AR21" s="34">
        <f t="shared" si="41"/>
        <v>500</v>
      </c>
      <c r="AS21" s="35">
        <f t="shared" si="42"/>
        <v>5175</v>
      </c>
      <c r="AT21" s="181">
        <v>6000</v>
      </c>
      <c r="AU21" s="34">
        <f t="shared" si="43"/>
        <v>105</v>
      </c>
      <c r="AV21" s="34">
        <f t="shared" si="44"/>
        <v>720</v>
      </c>
      <c r="AW21" s="34">
        <f t="shared" si="45"/>
        <v>285</v>
      </c>
      <c r="AX21" s="32">
        <f t="shared" si="46"/>
        <v>220</v>
      </c>
      <c r="AY21" s="34">
        <f t="shared" si="47"/>
        <v>500</v>
      </c>
      <c r="AZ21" s="35">
        <f t="shared" si="48"/>
        <v>5175</v>
      </c>
      <c r="BA21" s="181">
        <v>6000</v>
      </c>
      <c r="BB21" s="34">
        <f t="shared" si="49"/>
        <v>105</v>
      </c>
      <c r="BC21" s="34">
        <f t="shared" si="50"/>
        <v>720</v>
      </c>
      <c r="BD21" s="34">
        <f t="shared" si="51"/>
        <v>285</v>
      </c>
      <c r="BE21" s="32">
        <f t="shared" si="52"/>
        <v>220</v>
      </c>
      <c r="BF21" s="34">
        <f t="shared" si="53"/>
        <v>500</v>
      </c>
      <c r="BG21" s="35">
        <f t="shared" si="54"/>
        <v>5175</v>
      </c>
      <c r="BH21" s="181"/>
      <c r="BI21" s="34">
        <f t="shared" si="55"/>
        <v>0</v>
      </c>
      <c r="BJ21" s="34">
        <f t="shared" si="56"/>
        <v>0</v>
      </c>
      <c r="BK21" s="34">
        <f t="shared" si="57"/>
        <v>0</v>
      </c>
      <c r="BL21" s="32">
        <f t="shared" si="58"/>
        <v>0</v>
      </c>
      <c r="BM21" s="34">
        <f t="shared" si="59"/>
        <v>0</v>
      </c>
      <c r="BN21" s="35">
        <f t="shared" si="60"/>
        <v>0</v>
      </c>
      <c r="BO21" s="181"/>
      <c r="BP21" s="34">
        <f t="shared" si="61"/>
        <v>0</v>
      </c>
      <c r="BQ21" s="34">
        <f t="shared" si="62"/>
        <v>0</v>
      </c>
      <c r="BR21" s="34">
        <f t="shared" si="63"/>
        <v>0</v>
      </c>
      <c r="BS21" s="32">
        <f t="shared" si="64"/>
        <v>0</v>
      </c>
      <c r="BT21" s="34">
        <f t="shared" si="65"/>
        <v>0</v>
      </c>
      <c r="BU21" s="35">
        <f t="shared" si="66"/>
        <v>0</v>
      </c>
      <c r="BV21" s="181"/>
      <c r="BW21" s="34">
        <f t="shared" si="67"/>
        <v>0</v>
      </c>
      <c r="BX21" s="34">
        <f t="shared" si="68"/>
        <v>0</v>
      </c>
      <c r="BY21" s="34">
        <f t="shared" si="69"/>
        <v>0</v>
      </c>
      <c r="BZ21" s="32">
        <f t="shared" si="70"/>
        <v>0</v>
      </c>
      <c r="CA21" s="34">
        <f t="shared" si="71"/>
        <v>0</v>
      </c>
      <c r="CB21" s="35">
        <f t="shared" si="72"/>
        <v>0</v>
      </c>
      <c r="CC21" s="181"/>
      <c r="CD21" s="34">
        <f t="shared" si="73"/>
        <v>0</v>
      </c>
      <c r="CE21" s="34">
        <f t="shared" si="74"/>
        <v>0</v>
      </c>
      <c r="CF21" s="34">
        <f t="shared" si="75"/>
        <v>0</v>
      </c>
      <c r="CG21" s="32">
        <f t="shared" si="76"/>
        <v>0</v>
      </c>
      <c r="CH21" s="34">
        <f t="shared" si="77"/>
        <v>0</v>
      </c>
      <c r="CI21" s="35">
        <f t="shared" si="78"/>
        <v>0</v>
      </c>
      <c r="CJ21" s="32">
        <f t="shared" si="1"/>
        <v>48000</v>
      </c>
      <c r="CK21" s="32">
        <f t="shared" si="2"/>
        <v>840</v>
      </c>
      <c r="CL21" s="32">
        <f t="shared" si="3"/>
        <v>5760</v>
      </c>
      <c r="CM21" s="32">
        <f t="shared" si="4"/>
        <v>2280</v>
      </c>
      <c r="CN21" s="32">
        <f t="shared" si="5"/>
        <v>1760</v>
      </c>
      <c r="CO21" s="32">
        <f t="shared" si="6"/>
        <v>4000</v>
      </c>
      <c r="CP21" s="32">
        <f t="shared" si="7"/>
        <v>41400</v>
      </c>
    </row>
    <row r="22" spans="1:94">
      <c r="A22" s="186" t="s">
        <v>102</v>
      </c>
      <c r="B22" s="180"/>
      <c r="C22" s="181"/>
      <c r="D22" s="181">
        <v>3500</v>
      </c>
      <c r="E22" s="34">
        <f t="shared" si="8"/>
        <v>62</v>
      </c>
      <c r="F22" s="34">
        <f t="shared" si="9"/>
        <v>420</v>
      </c>
      <c r="G22" s="34">
        <f t="shared" si="10"/>
        <v>167</v>
      </c>
      <c r="H22" s="32">
        <f t="shared" si="11"/>
        <v>128</v>
      </c>
      <c r="I22" s="34">
        <f t="shared" si="12"/>
        <v>292</v>
      </c>
      <c r="J22" s="35">
        <f t="shared" si="13"/>
        <v>3018</v>
      </c>
      <c r="K22" s="181">
        <v>3500</v>
      </c>
      <c r="L22" s="34">
        <f t="shared" si="14"/>
        <v>62</v>
      </c>
      <c r="M22" s="34">
        <f t="shared" si="79"/>
        <v>420</v>
      </c>
      <c r="N22" s="34">
        <f t="shared" si="15"/>
        <v>167</v>
      </c>
      <c r="O22" s="32">
        <f t="shared" si="16"/>
        <v>128</v>
      </c>
      <c r="P22" s="34">
        <f t="shared" si="17"/>
        <v>292</v>
      </c>
      <c r="Q22" s="35">
        <f t="shared" si="18"/>
        <v>3018</v>
      </c>
      <c r="R22" s="181">
        <v>3500</v>
      </c>
      <c r="S22" s="34">
        <f t="shared" si="19"/>
        <v>62</v>
      </c>
      <c r="T22" s="34">
        <f t="shared" si="20"/>
        <v>420</v>
      </c>
      <c r="U22" s="34">
        <f t="shared" si="21"/>
        <v>167</v>
      </c>
      <c r="V22" s="32">
        <f t="shared" si="22"/>
        <v>128</v>
      </c>
      <c r="W22" s="34">
        <f t="shared" si="23"/>
        <v>292</v>
      </c>
      <c r="X22" s="35">
        <f t="shared" si="24"/>
        <v>3018</v>
      </c>
      <c r="Y22" s="181">
        <v>3500</v>
      </c>
      <c r="Z22" s="34">
        <f t="shared" si="25"/>
        <v>62</v>
      </c>
      <c r="AA22" s="34">
        <f t="shared" si="26"/>
        <v>420</v>
      </c>
      <c r="AB22" s="34">
        <f t="shared" si="27"/>
        <v>167</v>
      </c>
      <c r="AC22" s="32">
        <f t="shared" si="28"/>
        <v>128</v>
      </c>
      <c r="AD22" s="34">
        <f t="shared" si="29"/>
        <v>292</v>
      </c>
      <c r="AE22" s="35">
        <f t="shared" si="30"/>
        <v>3018</v>
      </c>
      <c r="AF22" s="181">
        <v>3500</v>
      </c>
      <c r="AG22" s="34">
        <f t="shared" si="31"/>
        <v>62</v>
      </c>
      <c r="AH22" s="34">
        <f t="shared" si="32"/>
        <v>420</v>
      </c>
      <c r="AI22" s="34">
        <f t="shared" si="33"/>
        <v>167</v>
      </c>
      <c r="AJ22" s="32">
        <f t="shared" si="34"/>
        <v>128</v>
      </c>
      <c r="AK22" s="34">
        <f t="shared" si="35"/>
        <v>292</v>
      </c>
      <c r="AL22" s="35">
        <f t="shared" si="36"/>
        <v>3018</v>
      </c>
      <c r="AM22" s="181">
        <v>3500</v>
      </c>
      <c r="AN22" s="34">
        <f t="shared" si="37"/>
        <v>62</v>
      </c>
      <c r="AO22" s="34">
        <f t="shared" si="38"/>
        <v>420</v>
      </c>
      <c r="AP22" s="34">
        <f t="shared" si="39"/>
        <v>167</v>
      </c>
      <c r="AQ22" s="32">
        <f t="shared" si="40"/>
        <v>128</v>
      </c>
      <c r="AR22" s="34">
        <f t="shared" si="41"/>
        <v>292</v>
      </c>
      <c r="AS22" s="35">
        <f t="shared" si="42"/>
        <v>3018</v>
      </c>
      <c r="AT22" s="181">
        <v>3500</v>
      </c>
      <c r="AU22" s="34">
        <f t="shared" si="43"/>
        <v>62</v>
      </c>
      <c r="AV22" s="34">
        <f t="shared" si="44"/>
        <v>420</v>
      </c>
      <c r="AW22" s="34">
        <f t="shared" si="45"/>
        <v>167</v>
      </c>
      <c r="AX22" s="32">
        <f t="shared" si="46"/>
        <v>128</v>
      </c>
      <c r="AY22" s="34">
        <f t="shared" si="47"/>
        <v>292</v>
      </c>
      <c r="AZ22" s="35">
        <f t="shared" si="48"/>
        <v>3018</v>
      </c>
      <c r="BA22" s="181">
        <v>3500</v>
      </c>
      <c r="BB22" s="34">
        <f t="shared" si="49"/>
        <v>62</v>
      </c>
      <c r="BC22" s="34">
        <f t="shared" si="50"/>
        <v>420</v>
      </c>
      <c r="BD22" s="34">
        <f t="shared" si="51"/>
        <v>167</v>
      </c>
      <c r="BE22" s="32">
        <f t="shared" si="52"/>
        <v>128</v>
      </c>
      <c r="BF22" s="34">
        <f t="shared" si="53"/>
        <v>292</v>
      </c>
      <c r="BG22" s="35">
        <f t="shared" si="54"/>
        <v>3018</v>
      </c>
      <c r="BH22" s="181"/>
      <c r="BI22" s="34">
        <f t="shared" si="55"/>
        <v>0</v>
      </c>
      <c r="BJ22" s="34">
        <f t="shared" si="56"/>
        <v>0</v>
      </c>
      <c r="BK22" s="34">
        <f t="shared" si="57"/>
        <v>0</v>
      </c>
      <c r="BL22" s="32">
        <f t="shared" si="58"/>
        <v>0</v>
      </c>
      <c r="BM22" s="34">
        <f t="shared" si="59"/>
        <v>0</v>
      </c>
      <c r="BN22" s="35">
        <f t="shared" si="60"/>
        <v>0</v>
      </c>
      <c r="BO22" s="181"/>
      <c r="BP22" s="34">
        <f t="shared" si="61"/>
        <v>0</v>
      </c>
      <c r="BQ22" s="34">
        <f t="shared" si="62"/>
        <v>0</v>
      </c>
      <c r="BR22" s="34">
        <f t="shared" si="63"/>
        <v>0</v>
      </c>
      <c r="BS22" s="32">
        <f t="shared" si="64"/>
        <v>0</v>
      </c>
      <c r="BT22" s="34">
        <f t="shared" si="65"/>
        <v>0</v>
      </c>
      <c r="BU22" s="35">
        <f t="shared" si="66"/>
        <v>0</v>
      </c>
      <c r="BV22" s="181"/>
      <c r="BW22" s="34">
        <f t="shared" si="67"/>
        <v>0</v>
      </c>
      <c r="BX22" s="34">
        <f t="shared" si="68"/>
        <v>0</v>
      </c>
      <c r="BY22" s="34">
        <f t="shared" si="69"/>
        <v>0</v>
      </c>
      <c r="BZ22" s="32">
        <f t="shared" si="70"/>
        <v>0</v>
      </c>
      <c r="CA22" s="34">
        <f t="shared" si="71"/>
        <v>0</v>
      </c>
      <c r="CB22" s="35">
        <f t="shared" si="72"/>
        <v>0</v>
      </c>
      <c r="CC22" s="181"/>
      <c r="CD22" s="34">
        <f t="shared" si="73"/>
        <v>0</v>
      </c>
      <c r="CE22" s="34">
        <f t="shared" si="74"/>
        <v>0</v>
      </c>
      <c r="CF22" s="34">
        <f t="shared" si="75"/>
        <v>0</v>
      </c>
      <c r="CG22" s="32">
        <f t="shared" si="76"/>
        <v>0</v>
      </c>
      <c r="CH22" s="34">
        <f t="shared" si="77"/>
        <v>0</v>
      </c>
      <c r="CI22" s="35">
        <f t="shared" si="78"/>
        <v>0</v>
      </c>
      <c r="CJ22" s="32">
        <f t="shared" si="1"/>
        <v>28000</v>
      </c>
      <c r="CK22" s="32">
        <f t="shared" si="2"/>
        <v>496</v>
      </c>
      <c r="CL22" s="32">
        <f t="shared" si="3"/>
        <v>3360</v>
      </c>
      <c r="CM22" s="32">
        <f t="shared" si="4"/>
        <v>1336</v>
      </c>
      <c r="CN22" s="32">
        <f t="shared" si="5"/>
        <v>1024</v>
      </c>
      <c r="CO22" s="32">
        <f t="shared" si="6"/>
        <v>2336</v>
      </c>
      <c r="CP22" s="32">
        <f t="shared" si="7"/>
        <v>24144</v>
      </c>
    </row>
    <row r="23" spans="1:94">
      <c r="A23" s="186" t="s">
        <v>103</v>
      </c>
      <c r="B23" s="180"/>
      <c r="C23" s="181"/>
      <c r="D23" s="181">
        <v>6500</v>
      </c>
      <c r="E23" s="34">
        <f t="shared" si="8"/>
        <v>114</v>
      </c>
      <c r="F23" s="34">
        <f t="shared" si="9"/>
        <v>780</v>
      </c>
      <c r="G23" s="34">
        <f t="shared" si="10"/>
        <v>309</v>
      </c>
      <c r="H23" s="32">
        <f t="shared" si="11"/>
        <v>239</v>
      </c>
      <c r="I23" s="34">
        <f t="shared" si="12"/>
        <v>541</v>
      </c>
      <c r="J23" s="35">
        <f t="shared" si="13"/>
        <v>5606</v>
      </c>
      <c r="K23" s="181">
        <v>6500</v>
      </c>
      <c r="L23" s="34">
        <f t="shared" si="14"/>
        <v>114</v>
      </c>
      <c r="M23" s="34">
        <f t="shared" si="79"/>
        <v>780</v>
      </c>
      <c r="N23" s="34">
        <f t="shared" si="15"/>
        <v>309</v>
      </c>
      <c r="O23" s="32">
        <f t="shared" si="16"/>
        <v>239</v>
      </c>
      <c r="P23" s="34">
        <f t="shared" si="17"/>
        <v>541</v>
      </c>
      <c r="Q23" s="35">
        <f t="shared" si="18"/>
        <v>5606</v>
      </c>
      <c r="R23" s="181">
        <v>6500</v>
      </c>
      <c r="S23" s="34">
        <f t="shared" si="19"/>
        <v>114</v>
      </c>
      <c r="T23" s="34">
        <f t="shared" si="20"/>
        <v>780</v>
      </c>
      <c r="U23" s="34">
        <f t="shared" si="21"/>
        <v>309</v>
      </c>
      <c r="V23" s="32">
        <f t="shared" si="22"/>
        <v>239</v>
      </c>
      <c r="W23" s="34">
        <f t="shared" si="23"/>
        <v>541</v>
      </c>
      <c r="X23" s="35">
        <f t="shared" si="24"/>
        <v>5606</v>
      </c>
      <c r="Y23" s="181">
        <v>6500</v>
      </c>
      <c r="Z23" s="34">
        <f t="shared" si="25"/>
        <v>114</v>
      </c>
      <c r="AA23" s="34">
        <f t="shared" si="26"/>
        <v>780</v>
      </c>
      <c r="AB23" s="34">
        <f t="shared" si="27"/>
        <v>309</v>
      </c>
      <c r="AC23" s="32">
        <f t="shared" si="28"/>
        <v>239</v>
      </c>
      <c r="AD23" s="34">
        <f t="shared" si="29"/>
        <v>541</v>
      </c>
      <c r="AE23" s="35">
        <f t="shared" si="30"/>
        <v>5606</v>
      </c>
      <c r="AF23" s="181">
        <v>6500</v>
      </c>
      <c r="AG23" s="34">
        <f t="shared" si="31"/>
        <v>114</v>
      </c>
      <c r="AH23" s="34">
        <f t="shared" si="32"/>
        <v>780</v>
      </c>
      <c r="AI23" s="34">
        <f t="shared" si="33"/>
        <v>309</v>
      </c>
      <c r="AJ23" s="32">
        <f t="shared" si="34"/>
        <v>239</v>
      </c>
      <c r="AK23" s="34">
        <f t="shared" si="35"/>
        <v>541</v>
      </c>
      <c r="AL23" s="35">
        <f t="shared" si="36"/>
        <v>5606</v>
      </c>
      <c r="AM23" s="181">
        <v>6500</v>
      </c>
      <c r="AN23" s="34">
        <f t="shared" si="37"/>
        <v>114</v>
      </c>
      <c r="AO23" s="34">
        <f t="shared" si="38"/>
        <v>780</v>
      </c>
      <c r="AP23" s="34">
        <f t="shared" si="39"/>
        <v>309</v>
      </c>
      <c r="AQ23" s="32">
        <f t="shared" si="40"/>
        <v>239</v>
      </c>
      <c r="AR23" s="34">
        <f t="shared" si="41"/>
        <v>541</v>
      </c>
      <c r="AS23" s="35">
        <f t="shared" si="42"/>
        <v>5606</v>
      </c>
      <c r="AT23" s="181">
        <v>6500</v>
      </c>
      <c r="AU23" s="34">
        <f t="shared" si="43"/>
        <v>114</v>
      </c>
      <c r="AV23" s="34">
        <f t="shared" si="44"/>
        <v>780</v>
      </c>
      <c r="AW23" s="34">
        <f t="shared" si="45"/>
        <v>309</v>
      </c>
      <c r="AX23" s="32">
        <f t="shared" si="46"/>
        <v>239</v>
      </c>
      <c r="AY23" s="34">
        <f t="shared" si="47"/>
        <v>541</v>
      </c>
      <c r="AZ23" s="35">
        <f t="shared" si="48"/>
        <v>5606</v>
      </c>
      <c r="BA23" s="181">
        <v>6500</v>
      </c>
      <c r="BB23" s="34">
        <f t="shared" si="49"/>
        <v>114</v>
      </c>
      <c r="BC23" s="34">
        <f t="shared" si="50"/>
        <v>780</v>
      </c>
      <c r="BD23" s="34">
        <f t="shared" si="51"/>
        <v>309</v>
      </c>
      <c r="BE23" s="32">
        <f t="shared" si="52"/>
        <v>239</v>
      </c>
      <c r="BF23" s="34">
        <f t="shared" si="53"/>
        <v>541</v>
      </c>
      <c r="BG23" s="35">
        <f t="shared" si="54"/>
        <v>5606</v>
      </c>
      <c r="BH23" s="181"/>
      <c r="BI23" s="34">
        <f t="shared" si="55"/>
        <v>0</v>
      </c>
      <c r="BJ23" s="34">
        <f t="shared" si="56"/>
        <v>0</v>
      </c>
      <c r="BK23" s="34">
        <f t="shared" si="57"/>
        <v>0</v>
      </c>
      <c r="BL23" s="32">
        <f t="shared" si="58"/>
        <v>0</v>
      </c>
      <c r="BM23" s="34">
        <f t="shared" si="59"/>
        <v>0</v>
      </c>
      <c r="BN23" s="35">
        <f t="shared" si="60"/>
        <v>0</v>
      </c>
      <c r="BO23" s="181"/>
      <c r="BP23" s="34">
        <f t="shared" si="61"/>
        <v>0</v>
      </c>
      <c r="BQ23" s="34">
        <f t="shared" si="62"/>
        <v>0</v>
      </c>
      <c r="BR23" s="34">
        <f t="shared" si="63"/>
        <v>0</v>
      </c>
      <c r="BS23" s="32">
        <f t="shared" si="64"/>
        <v>0</v>
      </c>
      <c r="BT23" s="34">
        <f t="shared" si="65"/>
        <v>0</v>
      </c>
      <c r="BU23" s="35">
        <f t="shared" si="66"/>
        <v>0</v>
      </c>
      <c r="BV23" s="181"/>
      <c r="BW23" s="34">
        <f t="shared" si="67"/>
        <v>0</v>
      </c>
      <c r="BX23" s="34">
        <f t="shared" si="68"/>
        <v>0</v>
      </c>
      <c r="BY23" s="34">
        <f t="shared" si="69"/>
        <v>0</v>
      </c>
      <c r="BZ23" s="32">
        <f t="shared" si="70"/>
        <v>0</v>
      </c>
      <c r="CA23" s="34">
        <f t="shared" si="71"/>
        <v>0</v>
      </c>
      <c r="CB23" s="35">
        <f t="shared" si="72"/>
        <v>0</v>
      </c>
      <c r="CC23" s="181"/>
      <c r="CD23" s="34">
        <f t="shared" si="73"/>
        <v>0</v>
      </c>
      <c r="CE23" s="34">
        <f t="shared" si="74"/>
        <v>0</v>
      </c>
      <c r="CF23" s="34">
        <f t="shared" si="75"/>
        <v>0</v>
      </c>
      <c r="CG23" s="32">
        <f t="shared" si="76"/>
        <v>0</v>
      </c>
      <c r="CH23" s="34">
        <f t="shared" si="77"/>
        <v>0</v>
      </c>
      <c r="CI23" s="35">
        <f t="shared" si="78"/>
        <v>0</v>
      </c>
      <c r="CJ23" s="32">
        <f t="shared" si="1"/>
        <v>52000</v>
      </c>
      <c r="CK23" s="32">
        <f t="shared" si="2"/>
        <v>912</v>
      </c>
      <c r="CL23" s="32">
        <f t="shared" si="3"/>
        <v>6240</v>
      </c>
      <c r="CM23" s="32">
        <f t="shared" si="4"/>
        <v>2472</v>
      </c>
      <c r="CN23" s="32">
        <f t="shared" si="5"/>
        <v>1912</v>
      </c>
      <c r="CO23" s="32">
        <f t="shared" si="6"/>
        <v>4328</v>
      </c>
      <c r="CP23" s="32">
        <f t="shared" si="7"/>
        <v>44848</v>
      </c>
    </row>
    <row r="24" spans="1:94">
      <c r="A24" s="186" t="s">
        <v>104</v>
      </c>
      <c r="B24" s="182"/>
      <c r="C24" s="181"/>
      <c r="D24" s="181"/>
      <c r="E24" s="34">
        <f t="shared" si="8"/>
        <v>0</v>
      </c>
      <c r="F24" s="34">
        <f t="shared" si="9"/>
        <v>0</v>
      </c>
      <c r="G24" s="34">
        <f t="shared" si="10"/>
        <v>0</v>
      </c>
      <c r="H24" s="32">
        <f t="shared" si="11"/>
        <v>0</v>
      </c>
      <c r="I24" s="34">
        <f t="shared" si="12"/>
        <v>0</v>
      </c>
      <c r="J24" s="35">
        <f t="shared" si="13"/>
        <v>0</v>
      </c>
      <c r="K24" s="181"/>
      <c r="L24" s="34">
        <f t="shared" si="14"/>
        <v>0</v>
      </c>
      <c r="M24" s="34">
        <f t="shared" si="79"/>
        <v>0</v>
      </c>
      <c r="N24" s="34">
        <f t="shared" si="15"/>
        <v>0</v>
      </c>
      <c r="O24" s="32">
        <f t="shared" si="16"/>
        <v>0</v>
      </c>
      <c r="P24" s="34">
        <f t="shared" si="17"/>
        <v>0</v>
      </c>
      <c r="Q24" s="35">
        <f t="shared" si="18"/>
        <v>0</v>
      </c>
      <c r="R24" s="181"/>
      <c r="S24" s="34">
        <f t="shared" si="19"/>
        <v>0</v>
      </c>
      <c r="T24" s="34">
        <f t="shared" si="20"/>
        <v>0</v>
      </c>
      <c r="U24" s="34">
        <f t="shared" si="21"/>
        <v>0</v>
      </c>
      <c r="V24" s="32">
        <f t="shared" si="22"/>
        <v>0</v>
      </c>
      <c r="W24" s="34">
        <f t="shared" si="23"/>
        <v>0</v>
      </c>
      <c r="X24" s="35">
        <f t="shared" si="24"/>
        <v>0</v>
      </c>
      <c r="Y24" s="181">
        <v>3171</v>
      </c>
      <c r="Z24" s="34">
        <f t="shared" si="25"/>
        <v>56</v>
      </c>
      <c r="AA24" s="34">
        <f t="shared" si="26"/>
        <v>381</v>
      </c>
      <c r="AB24" s="34">
        <f t="shared" si="27"/>
        <v>151</v>
      </c>
      <c r="AC24" s="32">
        <f t="shared" si="28"/>
        <v>117</v>
      </c>
      <c r="AD24" s="34">
        <f t="shared" si="29"/>
        <v>264</v>
      </c>
      <c r="AE24" s="35">
        <f t="shared" si="30"/>
        <v>2734</v>
      </c>
      <c r="AF24" s="181">
        <v>3322</v>
      </c>
      <c r="AG24" s="34">
        <f t="shared" si="31"/>
        <v>59</v>
      </c>
      <c r="AH24" s="34">
        <f t="shared" si="32"/>
        <v>399</v>
      </c>
      <c r="AI24" s="34">
        <f t="shared" si="33"/>
        <v>158</v>
      </c>
      <c r="AJ24" s="32">
        <f t="shared" si="34"/>
        <v>122</v>
      </c>
      <c r="AK24" s="34">
        <f t="shared" si="35"/>
        <v>277</v>
      </c>
      <c r="AL24" s="35">
        <f t="shared" si="36"/>
        <v>2864</v>
      </c>
      <c r="AM24" s="181">
        <v>3322</v>
      </c>
      <c r="AN24" s="34">
        <f t="shared" si="37"/>
        <v>59</v>
      </c>
      <c r="AO24" s="34">
        <f t="shared" si="38"/>
        <v>399</v>
      </c>
      <c r="AP24" s="34">
        <f t="shared" si="39"/>
        <v>158</v>
      </c>
      <c r="AQ24" s="32">
        <f t="shared" si="40"/>
        <v>122</v>
      </c>
      <c r="AR24" s="34">
        <f t="shared" si="41"/>
        <v>277</v>
      </c>
      <c r="AS24" s="35">
        <f t="shared" si="42"/>
        <v>2864</v>
      </c>
      <c r="AT24" s="181">
        <v>3322</v>
      </c>
      <c r="AU24" s="34">
        <f t="shared" si="43"/>
        <v>59</v>
      </c>
      <c r="AV24" s="34">
        <f t="shared" si="44"/>
        <v>399</v>
      </c>
      <c r="AW24" s="34">
        <f t="shared" si="45"/>
        <v>158</v>
      </c>
      <c r="AX24" s="32">
        <f t="shared" si="46"/>
        <v>122</v>
      </c>
      <c r="AY24" s="34">
        <f t="shared" si="47"/>
        <v>277</v>
      </c>
      <c r="AZ24" s="35">
        <f t="shared" si="48"/>
        <v>2864</v>
      </c>
      <c r="BA24" s="181">
        <v>3322</v>
      </c>
      <c r="BB24" s="34">
        <f t="shared" si="49"/>
        <v>59</v>
      </c>
      <c r="BC24" s="34">
        <f t="shared" si="50"/>
        <v>399</v>
      </c>
      <c r="BD24" s="34">
        <f t="shared" si="51"/>
        <v>158</v>
      </c>
      <c r="BE24" s="32">
        <f t="shared" si="52"/>
        <v>122</v>
      </c>
      <c r="BF24" s="34">
        <f t="shared" si="53"/>
        <v>277</v>
      </c>
      <c r="BG24" s="35">
        <f t="shared" si="54"/>
        <v>2864</v>
      </c>
      <c r="BH24" s="181"/>
      <c r="BI24" s="34">
        <f t="shared" si="55"/>
        <v>0</v>
      </c>
      <c r="BJ24" s="34">
        <f t="shared" si="56"/>
        <v>0</v>
      </c>
      <c r="BK24" s="34">
        <f t="shared" si="57"/>
        <v>0</v>
      </c>
      <c r="BL24" s="32">
        <f t="shared" si="58"/>
        <v>0</v>
      </c>
      <c r="BM24" s="34">
        <f t="shared" si="59"/>
        <v>0</v>
      </c>
      <c r="BN24" s="35">
        <f t="shared" si="60"/>
        <v>0</v>
      </c>
      <c r="BO24" s="181"/>
      <c r="BP24" s="34">
        <f t="shared" si="61"/>
        <v>0</v>
      </c>
      <c r="BQ24" s="34">
        <f t="shared" si="62"/>
        <v>0</v>
      </c>
      <c r="BR24" s="34">
        <f t="shared" si="63"/>
        <v>0</v>
      </c>
      <c r="BS24" s="32">
        <f t="shared" si="64"/>
        <v>0</v>
      </c>
      <c r="BT24" s="34">
        <f t="shared" si="65"/>
        <v>0</v>
      </c>
      <c r="BU24" s="35">
        <f t="shared" si="66"/>
        <v>0</v>
      </c>
      <c r="BV24" s="181"/>
      <c r="BW24" s="34">
        <f t="shared" si="67"/>
        <v>0</v>
      </c>
      <c r="BX24" s="34">
        <f t="shared" si="68"/>
        <v>0</v>
      </c>
      <c r="BY24" s="34">
        <f t="shared" si="69"/>
        <v>0</v>
      </c>
      <c r="BZ24" s="32">
        <f t="shared" si="70"/>
        <v>0</v>
      </c>
      <c r="CA24" s="34">
        <f t="shared" si="71"/>
        <v>0</v>
      </c>
      <c r="CB24" s="35">
        <f t="shared" si="72"/>
        <v>0</v>
      </c>
      <c r="CC24" s="181"/>
      <c r="CD24" s="34">
        <f t="shared" si="73"/>
        <v>0</v>
      </c>
      <c r="CE24" s="34">
        <f t="shared" si="74"/>
        <v>0</v>
      </c>
      <c r="CF24" s="34">
        <f t="shared" si="75"/>
        <v>0</v>
      </c>
      <c r="CG24" s="32">
        <f t="shared" si="76"/>
        <v>0</v>
      </c>
      <c r="CH24" s="34">
        <f t="shared" si="77"/>
        <v>0</v>
      </c>
      <c r="CI24" s="35">
        <f t="shared" si="78"/>
        <v>0</v>
      </c>
      <c r="CJ24" s="32">
        <f t="shared" si="1"/>
        <v>16459</v>
      </c>
      <c r="CK24" s="32">
        <f t="shared" si="2"/>
        <v>292</v>
      </c>
      <c r="CL24" s="32">
        <f t="shared" si="3"/>
        <v>1977</v>
      </c>
      <c r="CM24" s="32">
        <f t="shared" si="4"/>
        <v>783</v>
      </c>
      <c r="CN24" s="32">
        <f t="shared" si="5"/>
        <v>605</v>
      </c>
      <c r="CO24" s="32">
        <f t="shared" si="6"/>
        <v>1372</v>
      </c>
      <c r="CP24" s="32">
        <f t="shared" si="7"/>
        <v>14190</v>
      </c>
    </row>
    <row r="25" spans="1:94" ht="13.5" thickBot="1">
      <c r="A25" s="187" t="s">
        <v>105</v>
      </c>
      <c r="B25" s="183"/>
      <c r="C25" s="184"/>
      <c r="D25" s="184"/>
      <c r="E25" s="36">
        <f t="shared" si="8"/>
        <v>0</v>
      </c>
      <c r="F25" s="36">
        <f t="shared" si="9"/>
        <v>0</v>
      </c>
      <c r="G25" s="36">
        <f t="shared" si="10"/>
        <v>0</v>
      </c>
      <c r="H25" s="36">
        <f t="shared" ref="H25" si="80">ROUND(D25*3.67%,0)</f>
        <v>0</v>
      </c>
      <c r="I25" s="36">
        <f t="shared" si="12"/>
        <v>0</v>
      </c>
      <c r="J25" s="37">
        <f t="shared" si="13"/>
        <v>0</v>
      </c>
      <c r="K25" s="184"/>
      <c r="L25" s="36">
        <f t="shared" si="14"/>
        <v>0</v>
      </c>
      <c r="M25" s="34">
        <f t="shared" si="79"/>
        <v>0</v>
      </c>
      <c r="N25" s="36">
        <f t="shared" si="15"/>
        <v>0</v>
      </c>
      <c r="O25" s="36">
        <f t="shared" ref="O25" si="81">ROUND(K25*3.67%,0)</f>
        <v>0</v>
      </c>
      <c r="P25" s="36">
        <f t="shared" si="17"/>
        <v>0</v>
      </c>
      <c r="Q25" s="37">
        <f t="shared" si="18"/>
        <v>0</v>
      </c>
      <c r="R25" s="184"/>
      <c r="S25" s="36">
        <f t="shared" si="19"/>
        <v>0</v>
      </c>
      <c r="T25" s="36">
        <f t="shared" si="20"/>
        <v>0</v>
      </c>
      <c r="U25" s="36">
        <f t="shared" si="21"/>
        <v>0</v>
      </c>
      <c r="V25" s="32">
        <f t="shared" si="22"/>
        <v>0</v>
      </c>
      <c r="W25" s="36">
        <f t="shared" si="23"/>
        <v>0</v>
      </c>
      <c r="X25" s="37">
        <f t="shared" si="24"/>
        <v>0</v>
      </c>
      <c r="Y25" s="184"/>
      <c r="Z25" s="36">
        <f t="shared" si="25"/>
        <v>0</v>
      </c>
      <c r="AA25" s="36">
        <f t="shared" si="26"/>
        <v>0</v>
      </c>
      <c r="AB25" s="36">
        <f t="shared" si="27"/>
        <v>0</v>
      </c>
      <c r="AC25" s="36">
        <f t="shared" ref="AC25" si="82">ROUND(Y25*3.67%,0)</f>
        <v>0</v>
      </c>
      <c r="AD25" s="36">
        <f t="shared" si="29"/>
        <v>0</v>
      </c>
      <c r="AE25" s="37">
        <f t="shared" si="30"/>
        <v>0</v>
      </c>
      <c r="AF25" s="184"/>
      <c r="AG25" s="36">
        <f t="shared" si="31"/>
        <v>0</v>
      </c>
      <c r="AH25" s="36">
        <f t="shared" si="32"/>
        <v>0</v>
      </c>
      <c r="AI25" s="36">
        <f t="shared" si="33"/>
        <v>0</v>
      </c>
      <c r="AJ25" s="36">
        <f t="shared" ref="AJ25" si="83">ROUND(AF25*3.67%,0)</f>
        <v>0</v>
      </c>
      <c r="AK25" s="36">
        <f t="shared" si="35"/>
        <v>0</v>
      </c>
      <c r="AL25" s="37">
        <f t="shared" si="36"/>
        <v>0</v>
      </c>
      <c r="AM25" s="184"/>
      <c r="AN25" s="36">
        <f t="shared" si="37"/>
        <v>0</v>
      </c>
      <c r="AO25" s="36">
        <f t="shared" si="38"/>
        <v>0</v>
      </c>
      <c r="AP25" s="36">
        <f t="shared" si="39"/>
        <v>0</v>
      </c>
      <c r="AQ25" s="36">
        <f t="shared" ref="AQ25" si="84">ROUND(AM25*3.67%,0)</f>
        <v>0</v>
      </c>
      <c r="AR25" s="36">
        <f t="shared" si="41"/>
        <v>0</v>
      </c>
      <c r="AS25" s="37">
        <f t="shared" si="42"/>
        <v>0</v>
      </c>
      <c r="AT25" s="184"/>
      <c r="AU25" s="36">
        <f t="shared" si="43"/>
        <v>0</v>
      </c>
      <c r="AV25" s="36">
        <f t="shared" si="44"/>
        <v>0</v>
      </c>
      <c r="AW25" s="36">
        <f t="shared" si="45"/>
        <v>0</v>
      </c>
      <c r="AX25" s="36">
        <f t="shared" ref="AX25" si="85">ROUND(AT25*3.67%,0)</f>
        <v>0</v>
      </c>
      <c r="AY25" s="36">
        <f t="shared" si="47"/>
        <v>0</v>
      </c>
      <c r="AZ25" s="37">
        <f t="shared" si="48"/>
        <v>0</v>
      </c>
      <c r="BA25" s="184"/>
      <c r="BB25" s="36">
        <f t="shared" si="49"/>
        <v>0</v>
      </c>
      <c r="BC25" s="36">
        <f t="shared" si="50"/>
        <v>0</v>
      </c>
      <c r="BD25" s="36">
        <f t="shared" si="51"/>
        <v>0</v>
      </c>
      <c r="BE25" s="32">
        <f t="shared" si="52"/>
        <v>0</v>
      </c>
      <c r="BF25" s="36">
        <f t="shared" si="53"/>
        <v>0</v>
      </c>
      <c r="BG25" s="37">
        <f t="shared" si="54"/>
        <v>0</v>
      </c>
      <c r="BH25" s="184"/>
      <c r="BI25" s="36">
        <f t="shared" si="55"/>
        <v>0</v>
      </c>
      <c r="BJ25" s="36">
        <f t="shared" si="56"/>
        <v>0</v>
      </c>
      <c r="BK25" s="36">
        <f t="shared" si="57"/>
        <v>0</v>
      </c>
      <c r="BL25" s="32">
        <f t="shared" si="58"/>
        <v>0</v>
      </c>
      <c r="BM25" s="36">
        <f t="shared" si="59"/>
        <v>0</v>
      </c>
      <c r="BN25" s="37">
        <f t="shared" si="60"/>
        <v>0</v>
      </c>
      <c r="BO25" s="184"/>
      <c r="BP25" s="36">
        <f t="shared" si="61"/>
        <v>0</v>
      </c>
      <c r="BQ25" s="36">
        <f t="shared" si="62"/>
        <v>0</v>
      </c>
      <c r="BR25" s="36">
        <f t="shared" si="63"/>
        <v>0</v>
      </c>
      <c r="BS25" s="32">
        <f t="shared" si="64"/>
        <v>0</v>
      </c>
      <c r="BT25" s="36">
        <f t="shared" si="65"/>
        <v>0</v>
      </c>
      <c r="BU25" s="37">
        <f t="shared" si="66"/>
        <v>0</v>
      </c>
      <c r="BV25" s="184"/>
      <c r="BW25" s="36">
        <f t="shared" si="67"/>
        <v>0</v>
      </c>
      <c r="BX25" s="36">
        <f t="shared" si="68"/>
        <v>0</v>
      </c>
      <c r="BY25" s="36">
        <f t="shared" si="69"/>
        <v>0</v>
      </c>
      <c r="BZ25" s="32">
        <f t="shared" si="70"/>
        <v>0</v>
      </c>
      <c r="CA25" s="36">
        <f t="shared" si="71"/>
        <v>0</v>
      </c>
      <c r="CB25" s="37">
        <f t="shared" si="72"/>
        <v>0</v>
      </c>
      <c r="CC25" s="184"/>
      <c r="CD25" s="36">
        <f t="shared" si="73"/>
        <v>0</v>
      </c>
      <c r="CE25" s="36">
        <f t="shared" si="74"/>
        <v>0</v>
      </c>
      <c r="CF25" s="36">
        <f t="shared" si="75"/>
        <v>0</v>
      </c>
      <c r="CG25" s="32">
        <f t="shared" si="76"/>
        <v>0</v>
      </c>
      <c r="CH25" s="36">
        <f t="shared" si="77"/>
        <v>0</v>
      </c>
      <c r="CI25" s="37">
        <f t="shared" si="78"/>
        <v>0</v>
      </c>
      <c r="CJ25" s="41">
        <f t="shared" si="1"/>
        <v>0</v>
      </c>
      <c r="CK25" s="36">
        <f t="shared" si="2"/>
        <v>0</v>
      </c>
      <c r="CL25" s="36">
        <f t="shared" si="3"/>
        <v>0</v>
      </c>
      <c r="CM25" s="36">
        <f t="shared" si="4"/>
        <v>0</v>
      </c>
      <c r="CN25" s="36">
        <f t="shared" si="5"/>
        <v>0</v>
      </c>
      <c r="CO25" s="36">
        <f t="shared" si="6"/>
        <v>0</v>
      </c>
      <c r="CP25" s="36">
        <f t="shared" si="7"/>
        <v>0</v>
      </c>
    </row>
    <row r="26" spans="1:94" ht="13.5" thickBot="1">
      <c r="A26" s="19"/>
      <c r="B26" s="20" t="s">
        <v>18</v>
      </c>
      <c r="C26" s="20"/>
      <c r="D26" s="21">
        <f>SUM(D4:D25)</f>
        <v>65550</v>
      </c>
      <c r="E26" s="38">
        <f t="shared" ref="E26:J26" si="86">SUM(E4:E25)</f>
        <v>1159</v>
      </c>
      <c r="F26" s="38">
        <f t="shared" si="86"/>
        <v>7866</v>
      </c>
      <c r="G26" s="38">
        <f t="shared" si="86"/>
        <v>3120</v>
      </c>
      <c r="H26" s="38">
        <f t="shared" si="86"/>
        <v>2409</v>
      </c>
      <c r="I26" s="38">
        <f t="shared" si="86"/>
        <v>5457</v>
      </c>
      <c r="J26" s="39">
        <f t="shared" si="86"/>
        <v>56525</v>
      </c>
      <c r="K26" s="21">
        <f>SUM(K4:K25)</f>
        <v>65421</v>
      </c>
      <c r="L26" s="38">
        <f t="shared" ref="L26" si="87">SUM(L4:L25)</f>
        <v>1153</v>
      </c>
      <c r="M26" s="38">
        <f t="shared" ref="M26" si="88">SUM(M4:M25)</f>
        <v>7857</v>
      </c>
      <c r="N26" s="38">
        <f t="shared" ref="N26" si="89">SUM(N4:N25)</f>
        <v>3115</v>
      </c>
      <c r="O26" s="38">
        <f t="shared" ref="O26" si="90">SUM(O4:O25)</f>
        <v>2408</v>
      </c>
      <c r="P26" s="38">
        <f t="shared" ref="P26" si="91">SUM(P4:P25)</f>
        <v>5449</v>
      </c>
      <c r="Q26" s="39">
        <f t="shared" ref="Q26" si="92">SUM(Q4:Q25)</f>
        <v>56411</v>
      </c>
      <c r="R26" s="21">
        <f>SUM(R4:R25)</f>
        <v>65723</v>
      </c>
      <c r="S26" s="38">
        <f t="shared" ref="S26" si="93">SUM(S4:S25)</f>
        <v>1159</v>
      </c>
      <c r="T26" s="38">
        <f t="shared" ref="T26" si="94">SUM(T4:T25)</f>
        <v>7893</v>
      </c>
      <c r="U26" s="38">
        <f t="shared" ref="U26" si="95">SUM(U4:U25)</f>
        <v>3129</v>
      </c>
      <c r="V26" s="38">
        <f t="shared" ref="V26" si="96">SUM(V4:V25)</f>
        <v>2420</v>
      </c>
      <c r="W26" s="38">
        <f t="shared" ref="W26" si="97">SUM(W4:W25)</f>
        <v>5473</v>
      </c>
      <c r="X26" s="39">
        <f t="shared" ref="X26" si="98">SUM(X4:X25)</f>
        <v>56671</v>
      </c>
      <c r="Y26" s="21">
        <f>SUM(Y4:Y25)</f>
        <v>69800</v>
      </c>
      <c r="Z26" s="38">
        <f t="shared" ref="Z26" si="99">SUM(Z4:Z25)</f>
        <v>1233</v>
      </c>
      <c r="AA26" s="38">
        <f t="shared" ref="AA26" si="100">SUM(AA4:AA25)</f>
        <v>8382</v>
      </c>
      <c r="AB26" s="38">
        <f t="shared" ref="AB26" si="101">SUM(AB4:AB25)</f>
        <v>3322</v>
      </c>
      <c r="AC26" s="38">
        <f t="shared" ref="AC26" si="102">SUM(AC4:AC25)</f>
        <v>2567</v>
      </c>
      <c r="AD26" s="38">
        <f t="shared" ref="AD26" si="103">SUM(AD4:AD25)</f>
        <v>5815</v>
      </c>
      <c r="AE26" s="39">
        <f t="shared" ref="AE26" si="104">SUM(AE4:AE25)</f>
        <v>60185</v>
      </c>
      <c r="AF26" s="21">
        <f>SUM(AF4:AF25)</f>
        <v>64062</v>
      </c>
      <c r="AG26" s="38">
        <f t="shared" ref="AG26" si="105">SUM(AG4:AG25)</f>
        <v>1130</v>
      </c>
      <c r="AH26" s="38">
        <f t="shared" ref="AH26" si="106">SUM(AH4:AH25)</f>
        <v>7691</v>
      </c>
      <c r="AI26" s="38">
        <f t="shared" ref="AI26" si="107">SUM(AI4:AI25)</f>
        <v>3047</v>
      </c>
      <c r="AJ26" s="38">
        <f t="shared" ref="AJ26" si="108">SUM(AJ4:AJ25)</f>
        <v>2354</v>
      </c>
      <c r="AK26" s="38">
        <f t="shared" ref="AK26" si="109">SUM(AK4:AK25)</f>
        <v>5337</v>
      </c>
      <c r="AL26" s="39">
        <f t="shared" ref="AL26" si="110">SUM(AL4:AL25)</f>
        <v>55241</v>
      </c>
      <c r="AM26" s="21">
        <f>SUM(AM4:AM25)</f>
        <v>63005</v>
      </c>
      <c r="AN26" s="38">
        <f t="shared" ref="AN26" si="111">SUM(AN4:AN25)</f>
        <v>1110</v>
      </c>
      <c r="AO26" s="38">
        <f t="shared" ref="AO26" si="112">SUM(AO4:AO25)</f>
        <v>7564</v>
      </c>
      <c r="AP26" s="38">
        <f t="shared" ref="AP26" si="113">SUM(AP4:AP25)</f>
        <v>2997</v>
      </c>
      <c r="AQ26" s="38">
        <f t="shared" ref="AQ26" si="114">SUM(AQ4:AQ25)</f>
        <v>2317</v>
      </c>
      <c r="AR26" s="38">
        <f t="shared" ref="AR26" si="115">SUM(AR4:AR25)</f>
        <v>5247</v>
      </c>
      <c r="AS26" s="39">
        <f t="shared" ref="AS26" si="116">SUM(AS4:AS25)</f>
        <v>54331</v>
      </c>
      <c r="AT26" s="21">
        <f>SUM(AT4:AT25)</f>
        <v>58324</v>
      </c>
      <c r="AU26" s="38">
        <f t="shared" ref="AU26" si="117">SUM(AU4:AU25)</f>
        <v>1027</v>
      </c>
      <c r="AV26" s="38">
        <f t="shared" ref="AV26" si="118">SUM(AV4:AV25)</f>
        <v>7001</v>
      </c>
      <c r="AW26" s="38">
        <f t="shared" ref="AW26" si="119">SUM(AW4:AW25)</f>
        <v>2774</v>
      </c>
      <c r="AX26" s="38">
        <f t="shared" ref="AX26" si="120">SUM(AX4:AX25)</f>
        <v>2143</v>
      </c>
      <c r="AY26" s="38">
        <f t="shared" ref="AY26" si="121">SUM(AY4:AY25)</f>
        <v>4858</v>
      </c>
      <c r="AZ26" s="39">
        <f t="shared" ref="AZ26" si="122">SUM(AZ4:AZ25)</f>
        <v>50296</v>
      </c>
      <c r="BA26" s="21">
        <f>SUM(BA4:BA25)</f>
        <v>55304</v>
      </c>
      <c r="BB26" s="38">
        <f t="shared" ref="BB26" si="123">SUM(BB4:BB25)</f>
        <v>977</v>
      </c>
      <c r="BC26" s="38">
        <f t="shared" ref="BC26" si="124">SUM(BC4:BC25)</f>
        <v>6640</v>
      </c>
      <c r="BD26" s="38">
        <f t="shared" ref="BD26" si="125">SUM(BD4:BD25)</f>
        <v>2632</v>
      </c>
      <c r="BE26" s="38">
        <f t="shared" ref="BE26" si="126">SUM(BE4:BE25)</f>
        <v>2031</v>
      </c>
      <c r="BF26" s="38">
        <f t="shared" ref="BF26" si="127">SUM(BF4:BF25)</f>
        <v>4609</v>
      </c>
      <c r="BG26" s="39">
        <f t="shared" ref="BG26" si="128">SUM(BG4:BG25)</f>
        <v>47687</v>
      </c>
      <c r="BH26" s="21">
        <f>SUM(BH4:BH25)</f>
        <v>0</v>
      </c>
      <c r="BI26" s="38">
        <f t="shared" ref="BI26" si="129">SUM(BI4:BI25)</f>
        <v>0</v>
      </c>
      <c r="BJ26" s="38">
        <f t="shared" ref="BJ26" si="130">SUM(BJ4:BJ25)</f>
        <v>0</v>
      </c>
      <c r="BK26" s="38">
        <f t="shared" ref="BK26" si="131">SUM(BK4:BK25)</f>
        <v>0</v>
      </c>
      <c r="BL26" s="38">
        <f t="shared" ref="BL26" si="132">SUM(BL4:BL25)</f>
        <v>0</v>
      </c>
      <c r="BM26" s="38">
        <f t="shared" ref="BM26" si="133">SUM(BM4:BM25)</f>
        <v>0</v>
      </c>
      <c r="BN26" s="39">
        <f t="shared" ref="BN26" si="134">SUM(BN4:BN25)</f>
        <v>0</v>
      </c>
      <c r="BO26" s="21">
        <f>SUM(BO4:BO25)</f>
        <v>0</v>
      </c>
      <c r="BP26" s="38">
        <f t="shared" ref="BP26" si="135">SUM(BP4:BP25)</f>
        <v>0</v>
      </c>
      <c r="BQ26" s="38">
        <f t="shared" ref="BQ26" si="136">SUM(BQ4:BQ25)</f>
        <v>0</v>
      </c>
      <c r="BR26" s="38">
        <f t="shared" ref="BR26" si="137">SUM(BR4:BR25)</f>
        <v>0</v>
      </c>
      <c r="BS26" s="38">
        <f t="shared" ref="BS26" si="138">SUM(BS4:BS25)</f>
        <v>0</v>
      </c>
      <c r="BT26" s="38">
        <f t="shared" ref="BT26" si="139">SUM(BT4:BT25)</f>
        <v>0</v>
      </c>
      <c r="BU26" s="39">
        <f t="shared" ref="BU26" si="140">SUM(BU4:BU25)</f>
        <v>0</v>
      </c>
      <c r="BV26" s="21">
        <f>SUM(BV4:BV25)</f>
        <v>0</v>
      </c>
      <c r="BW26" s="38">
        <f t="shared" ref="BW26" si="141">SUM(BW4:BW25)</f>
        <v>0</v>
      </c>
      <c r="BX26" s="38">
        <f t="shared" ref="BX26" si="142">SUM(BX4:BX25)</f>
        <v>0</v>
      </c>
      <c r="BY26" s="38">
        <f t="shared" ref="BY26" si="143">SUM(BY4:BY25)</f>
        <v>0</v>
      </c>
      <c r="BZ26" s="38">
        <f t="shared" ref="BZ26" si="144">SUM(BZ4:BZ25)</f>
        <v>0</v>
      </c>
      <c r="CA26" s="38">
        <f t="shared" ref="CA26" si="145">SUM(CA4:CA25)</f>
        <v>0</v>
      </c>
      <c r="CB26" s="39">
        <f t="shared" ref="CB26" si="146">SUM(CB4:CB25)</f>
        <v>0</v>
      </c>
      <c r="CC26" s="21">
        <f>SUM(CC4:CC25)</f>
        <v>0</v>
      </c>
      <c r="CD26" s="38">
        <f t="shared" ref="CD26" si="147">SUM(CD4:CD25)</f>
        <v>0</v>
      </c>
      <c r="CE26" s="38">
        <f t="shared" ref="CE26" si="148">SUM(CE4:CE25)</f>
        <v>0</v>
      </c>
      <c r="CF26" s="38">
        <f t="shared" ref="CF26" si="149">SUM(CF4:CF25)</f>
        <v>0</v>
      </c>
      <c r="CG26" s="38">
        <f t="shared" ref="CG26" si="150">SUM(CG4:CG25)</f>
        <v>0</v>
      </c>
      <c r="CH26" s="38">
        <f t="shared" ref="CH26" si="151">SUM(CH4:CH25)</f>
        <v>0</v>
      </c>
      <c r="CI26" s="39">
        <f t="shared" ref="CI26" si="152">SUM(CI4:CI25)</f>
        <v>0</v>
      </c>
      <c r="CJ26" s="21">
        <f>SUM(CJ4:CJ25)</f>
        <v>507189</v>
      </c>
      <c r="CK26" s="38">
        <f t="shared" ref="CK26" si="153">SUM(CK4:CK25)</f>
        <v>8948</v>
      </c>
      <c r="CL26" s="38">
        <f t="shared" ref="CL26" si="154">SUM(CL4:CL25)</f>
        <v>60894</v>
      </c>
      <c r="CM26" s="38">
        <f t="shared" ref="CM26" si="155">SUM(CM4:CM25)</f>
        <v>24136</v>
      </c>
      <c r="CN26" s="38">
        <f>SUM(CN4:CN25)</f>
        <v>18649</v>
      </c>
      <c r="CO26" s="38">
        <f t="shared" ref="CO26" si="156">SUM(CO4:CO25)</f>
        <v>42245</v>
      </c>
      <c r="CP26" s="39">
        <f t="shared" ref="CP26" si="157">SUM(CP4:CP25)</f>
        <v>437347</v>
      </c>
    </row>
    <row r="27" spans="1:94" ht="13.5" thickTop="1"/>
    <row r="28" spans="1:94">
      <c r="E28" s="18"/>
      <c r="F28" s="18"/>
      <c r="G28" s="18"/>
      <c r="H28" s="18"/>
      <c r="I28" s="18"/>
      <c r="J28" s="18"/>
      <c r="L28" s="18"/>
      <c r="M28" s="18"/>
      <c r="N28" s="18"/>
      <c r="O28" s="18"/>
      <c r="P28" s="18"/>
      <c r="Q28" s="18"/>
      <c r="S28" s="18"/>
      <c r="T28" s="18"/>
      <c r="U28" s="18"/>
      <c r="V28" s="18"/>
      <c r="W28" s="18"/>
      <c r="X28" s="18"/>
      <c r="Z28" s="18"/>
      <c r="AA28" s="18"/>
      <c r="AB28" s="18"/>
      <c r="AC28" s="18"/>
      <c r="AD28" s="18"/>
      <c r="AE28" s="18"/>
      <c r="AG28" s="18"/>
      <c r="AH28" s="18"/>
      <c r="AI28" s="18"/>
      <c r="AJ28" s="18"/>
      <c r="AK28" s="18"/>
      <c r="AL28" s="18"/>
      <c r="AN28" s="18"/>
      <c r="AO28" s="18"/>
      <c r="AP28" s="18"/>
      <c r="AQ28" s="18"/>
      <c r="AR28" s="18"/>
      <c r="AS28" s="18"/>
      <c r="AU28" s="18"/>
      <c r="AV28" s="18"/>
      <c r="AW28" s="18"/>
      <c r="AX28" s="18"/>
      <c r="AY28" s="18"/>
      <c r="AZ28" s="18"/>
      <c r="BB28" s="18"/>
      <c r="BC28" s="18"/>
      <c r="BD28" s="18"/>
      <c r="BE28" s="18"/>
      <c r="BF28" s="18"/>
      <c r="BG28" s="18"/>
      <c r="BI28" s="18"/>
      <c r="BJ28" s="18"/>
      <c r="BK28" s="18"/>
      <c r="BL28" s="18"/>
      <c r="BM28" s="18"/>
      <c r="BN28" s="18"/>
      <c r="BP28" s="18"/>
      <c r="BQ28" s="18"/>
      <c r="BR28" s="18"/>
      <c r="BS28" s="18"/>
      <c r="BT28" s="18"/>
      <c r="BU28" s="18"/>
      <c r="BW28" s="18"/>
      <c r="BX28" s="18"/>
      <c r="BY28" s="18"/>
      <c r="BZ28" s="18"/>
      <c r="CA28" s="18"/>
      <c r="CB28" s="18"/>
      <c r="CD28" s="18"/>
      <c r="CE28" s="18"/>
      <c r="CF28" s="18"/>
      <c r="CG28" s="18"/>
      <c r="CH28" s="18"/>
      <c r="CI28" s="18"/>
    </row>
    <row r="30" spans="1:94" ht="15">
      <c r="A30" s="176" t="s">
        <v>234</v>
      </c>
      <c r="B30" s="175"/>
      <c r="C30" s="175"/>
      <c r="D30" s="175"/>
      <c r="E30" s="177"/>
    </row>
    <row r="31" spans="1:94" ht="15">
      <c r="A31" s="176" t="s">
        <v>235</v>
      </c>
      <c r="B31" s="175"/>
      <c r="C31" s="175"/>
      <c r="D31" s="175"/>
      <c r="E31" s="177"/>
    </row>
  </sheetData>
  <sheetProtection selectLockedCells="1"/>
  <mergeCells count="40">
    <mergeCell ref="G2:I2"/>
    <mergeCell ref="E2:F2"/>
    <mergeCell ref="J2:J3"/>
    <mergeCell ref="AS2:AS3"/>
    <mergeCell ref="S2:T2"/>
    <mergeCell ref="U2:W2"/>
    <mergeCell ref="X2:X3"/>
    <mergeCell ref="Z2:AA2"/>
    <mergeCell ref="AB2:AD2"/>
    <mergeCell ref="AE2:AE3"/>
    <mergeCell ref="AG2:AH2"/>
    <mergeCell ref="AI2:AK2"/>
    <mergeCell ref="AL2:AL3"/>
    <mergeCell ref="AN2:AO2"/>
    <mergeCell ref="AP2:AR2"/>
    <mergeCell ref="BP2:BQ2"/>
    <mergeCell ref="BR2:BT2"/>
    <mergeCell ref="BU2:BU3"/>
    <mergeCell ref="AU2:AV2"/>
    <mergeCell ref="AW2:AY2"/>
    <mergeCell ref="AZ2:AZ3"/>
    <mergeCell ref="BB2:BC2"/>
    <mergeCell ref="BD2:BF2"/>
    <mergeCell ref="BG2:BG3"/>
    <mergeCell ref="CP2:CP3"/>
    <mergeCell ref="A2:B2"/>
    <mergeCell ref="L2:M2"/>
    <mergeCell ref="N2:P2"/>
    <mergeCell ref="Q2:Q3"/>
    <mergeCell ref="CK2:CL2"/>
    <mergeCell ref="CM2:CO2"/>
    <mergeCell ref="BW2:BX2"/>
    <mergeCell ref="BY2:CA2"/>
    <mergeCell ref="CB2:CB3"/>
    <mergeCell ref="CD2:CE2"/>
    <mergeCell ref="CF2:CH2"/>
    <mergeCell ref="CI2:CI3"/>
    <mergeCell ref="BI2:BJ2"/>
    <mergeCell ref="BK2:BM2"/>
    <mergeCell ref="BN2:BN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L54"/>
  <sheetViews>
    <sheetView topLeftCell="A10" workbookViewId="0">
      <selection activeCell="A5" sqref="A5:L5"/>
    </sheetView>
  </sheetViews>
  <sheetFormatPr defaultRowHeight="12.75"/>
  <cols>
    <col min="1" max="1" width="4.85546875" style="80" customWidth="1"/>
    <col min="2" max="2" width="10.5703125" style="80" customWidth="1"/>
    <col min="3" max="3" width="17.5703125" style="80" customWidth="1"/>
    <col min="4" max="4" width="22.85546875" style="80" bestFit="1" customWidth="1"/>
    <col min="5" max="5" width="11.140625" style="80" customWidth="1"/>
    <col min="6" max="6" width="7.28515625" style="80" customWidth="1"/>
    <col min="7" max="7" width="10.42578125" style="80" customWidth="1"/>
    <col min="8" max="8" width="13.140625" style="80" customWidth="1"/>
    <col min="9" max="9" width="9.140625" style="80"/>
    <col min="10" max="10" width="10.85546875" style="80" customWidth="1"/>
    <col min="11" max="11" width="10.140625" style="80" customWidth="1"/>
    <col min="12" max="12" width="10.85546875" style="80" customWidth="1"/>
    <col min="13" max="16384" width="9.140625" style="80"/>
  </cols>
  <sheetData>
    <row r="1" spans="1:12">
      <c r="A1" s="174" t="s">
        <v>134</v>
      </c>
      <c r="B1" s="174"/>
      <c r="C1" s="174"/>
      <c r="D1" s="174"/>
      <c r="E1" s="174"/>
      <c r="F1" s="174"/>
      <c r="G1" s="174"/>
      <c r="H1" s="174"/>
      <c r="I1" s="174"/>
      <c r="J1" s="174"/>
      <c r="K1" s="174"/>
      <c r="L1" s="174"/>
    </row>
    <row r="2" spans="1:12">
      <c r="A2" s="174" t="s">
        <v>135</v>
      </c>
      <c r="B2" s="174"/>
      <c r="C2" s="174"/>
      <c r="D2" s="174"/>
      <c r="E2" s="174"/>
      <c r="F2" s="174"/>
      <c r="G2" s="174"/>
      <c r="H2" s="174"/>
      <c r="I2" s="174"/>
      <c r="J2" s="174"/>
      <c r="K2" s="174"/>
      <c r="L2" s="174"/>
    </row>
    <row r="3" spans="1:12">
      <c r="A3" s="174" t="s">
        <v>136</v>
      </c>
      <c r="B3" s="174"/>
      <c r="C3" s="174"/>
      <c r="D3" s="174"/>
      <c r="E3" s="174"/>
      <c r="F3" s="174"/>
      <c r="G3" s="174"/>
      <c r="H3" s="174"/>
      <c r="I3" s="174"/>
      <c r="J3" s="174"/>
      <c r="K3" s="174"/>
      <c r="L3" s="174"/>
    </row>
    <row r="4" spans="1:12">
      <c r="A4" s="174" t="s">
        <v>137</v>
      </c>
      <c r="B4" s="174"/>
      <c r="C4" s="174"/>
      <c r="D4" s="174"/>
      <c r="E4" s="174"/>
      <c r="F4" s="174"/>
      <c r="G4" s="174"/>
      <c r="H4" s="174"/>
      <c r="I4" s="174"/>
      <c r="J4" s="174"/>
      <c r="K4" s="174"/>
      <c r="L4" s="174"/>
    </row>
    <row r="5" spans="1:12">
      <c r="A5" s="174" t="s">
        <v>138</v>
      </c>
      <c r="B5" s="174"/>
      <c r="C5" s="174"/>
      <c r="D5" s="174"/>
      <c r="E5" s="174"/>
      <c r="F5" s="174"/>
      <c r="G5" s="174"/>
      <c r="H5" s="174"/>
      <c r="I5" s="174"/>
      <c r="J5" s="174"/>
      <c r="K5" s="174"/>
      <c r="L5" s="174"/>
    </row>
    <row r="7" spans="1:12" ht="15.75" customHeight="1">
      <c r="A7" s="80" t="s">
        <v>139</v>
      </c>
      <c r="G7" s="80" t="s">
        <v>197</v>
      </c>
    </row>
    <row r="8" spans="1:12" ht="15.75" customHeight="1">
      <c r="G8" s="80" t="s">
        <v>142</v>
      </c>
    </row>
    <row r="9" spans="1:12" ht="15.75" customHeight="1">
      <c r="G9" s="80" t="s">
        <v>143</v>
      </c>
    </row>
    <row r="10" spans="1:12" ht="15.75" customHeight="1">
      <c r="A10" s="80" t="s">
        <v>140</v>
      </c>
      <c r="G10" s="80" t="s">
        <v>144</v>
      </c>
    </row>
    <row r="11" spans="1:12" ht="15.75" customHeight="1">
      <c r="A11" s="80" t="s">
        <v>141</v>
      </c>
      <c r="G11" s="80" t="s">
        <v>196</v>
      </c>
    </row>
    <row r="13" spans="1:12" s="81" customFormat="1" ht="102">
      <c r="A13" s="82" t="s">
        <v>11</v>
      </c>
      <c r="B13" s="82" t="s">
        <v>145</v>
      </c>
      <c r="C13" s="82" t="s">
        <v>146</v>
      </c>
      <c r="D13" s="82" t="s">
        <v>147</v>
      </c>
      <c r="E13" s="82" t="s">
        <v>148</v>
      </c>
      <c r="F13" s="82" t="s">
        <v>149</v>
      </c>
      <c r="G13" s="82" t="s">
        <v>150</v>
      </c>
      <c r="H13" s="82" t="s">
        <v>151</v>
      </c>
      <c r="I13" s="82" t="s">
        <v>152</v>
      </c>
      <c r="J13" s="82" t="s">
        <v>153</v>
      </c>
      <c r="K13" s="82" t="s">
        <v>154</v>
      </c>
      <c r="L13" s="82" t="s">
        <v>155</v>
      </c>
    </row>
    <row r="14" spans="1:12" s="85" customFormat="1">
      <c r="A14" s="84">
        <v>1</v>
      </c>
      <c r="B14" s="84">
        <f>A14+1</f>
        <v>2</v>
      </c>
      <c r="C14" s="84">
        <f t="shared" ref="C14:L14" si="0">B14+1</f>
        <v>3</v>
      </c>
      <c r="D14" s="84">
        <f t="shared" si="0"/>
        <v>4</v>
      </c>
      <c r="E14" s="84">
        <f t="shared" si="0"/>
        <v>5</v>
      </c>
      <c r="F14" s="84">
        <f t="shared" si="0"/>
        <v>6</v>
      </c>
      <c r="G14" s="84">
        <f t="shared" si="0"/>
        <v>7</v>
      </c>
      <c r="H14" s="84">
        <f t="shared" si="0"/>
        <v>8</v>
      </c>
      <c r="I14" s="84">
        <f t="shared" si="0"/>
        <v>9</v>
      </c>
      <c r="J14" s="84">
        <f t="shared" si="0"/>
        <v>10</v>
      </c>
      <c r="K14" s="84">
        <f t="shared" si="0"/>
        <v>11</v>
      </c>
      <c r="L14" s="84">
        <f t="shared" si="0"/>
        <v>12</v>
      </c>
    </row>
    <row r="15" spans="1:12">
      <c r="A15" s="83"/>
      <c r="B15" s="83" t="s">
        <v>84</v>
      </c>
      <c r="C15" s="83" t="s">
        <v>156</v>
      </c>
      <c r="D15" s="83" t="s">
        <v>177</v>
      </c>
      <c r="E15" s="83"/>
      <c r="F15" s="83" t="s">
        <v>195</v>
      </c>
      <c r="G15" s="86">
        <v>40940</v>
      </c>
      <c r="H15" s="86">
        <v>40940</v>
      </c>
      <c r="I15" s="83"/>
      <c r="J15" s="83"/>
      <c r="K15" s="83"/>
      <c r="L15" s="83"/>
    </row>
    <row r="16" spans="1:12">
      <c r="A16" s="83"/>
      <c r="B16" s="83" t="s">
        <v>85</v>
      </c>
      <c r="C16" s="83" t="s">
        <v>157</v>
      </c>
      <c r="D16" s="83" t="s">
        <v>178</v>
      </c>
      <c r="E16" s="83"/>
      <c r="F16" s="83" t="s">
        <v>195</v>
      </c>
      <c r="G16" s="86">
        <v>40940</v>
      </c>
      <c r="H16" s="86">
        <v>40940</v>
      </c>
      <c r="I16" s="83"/>
      <c r="J16" s="83"/>
      <c r="K16" s="83"/>
      <c r="L16" s="83"/>
    </row>
    <row r="17" spans="1:12">
      <c r="A17" s="83"/>
      <c r="B17" s="83" t="s">
        <v>86</v>
      </c>
      <c r="C17" s="83" t="s">
        <v>158</v>
      </c>
      <c r="D17" s="83" t="s">
        <v>179</v>
      </c>
      <c r="E17" s="83"/>
      <c r="F17" s="83" t="s">
        <v>195</v>
      </c>
      <c r="G17" s="86">
        <v>40940</v>
      </c>
      <c r="H17" s="86">
        <v>40940</v>
      </c>
      <c r="I17" s="83"/>
      <c r="J17" s="83"/>
      <c r="K17" s="83"/>
      <c r="L17" s="83"/>
    </row>
    <row r="18" spans="1:12">
      <c r="A18" s="83"/>
      <c r="B18" s="83" t="s">
        <v>87</v>
      </c>
      <c r="C18" s="83" t="s">
        <v>159</v>
      </c>
      <c r="D18" s="83" t="s">
        <v>180</v>
      </c>
      <c r="E18" s="83"/>
      <c r="F18" s="83" t="s">
        <v>195</v>
      </c>
      <c r="G18" s="86">
        <v>40940</v>
      </c>
      <c r="H18" s="86">
        <v>40940</v>
      </c>
      <c r="I18" s="83"/>
      <c r="J18" s="83"/>
      <c r="K18" s="83"/>
      <c r="L18" s="83"/>
    </row>
    <row r="19" spans="1:12">
      <c r="A19" s="83"/>
      <c r="B19" s="83" t="s">
        <v>88</v>
      </c>
      <c r="C19" s="83" t="s">
        <v>160</v>
      </c>
      <c r="D19" s="83" t="s">
        <v>181</v>
      </c>
      <c r="E19" s="83"/>
      <c r="F19" s="83" t="s">
        <v>195</v>
      </c>
      <c r="G19" s="86">
        <v>40940</v>
      </c>
      <c r="H19" s="86">
        <v>40940</v>
      </c>
      <c r="I19" s="83"/>
      <c r="J19" s="83"/>
      <c r="K19" s="83"/>
      <c r="L19" s="83"/>
    </row>
    <row r="20" spans="1:12">
      <c r="A20" s="83"/>
      <c r="B20" s="83" t="s">
        <v>89</v>
      </c>
      <c r="C20" s="83" t="s">
        <v>161</v>
      </c>
      <c r="D20" s="83" t="s">
        <v>182</v>
      </c>
      <c r="E20" s="83"/>
      <c r="F20" s="83" t="s">
        <v>195</v>
      </c>
      <c r="G20" s="86">
        <v>40940</v>
      </c>
      <c r="H20" s="86">
        <v>40940</v>
      </c>
      <c r="I20" s="83"/>
      <c r="J20" s="83"/>
      <c r="K20" s="83"/>
      <c r="L20" s="83"/>
    </row>
    <row r="21" spans="1:12">
      <c r="A21" s="83"/>
      <c r="B21" s="83" t="s">
        <v>90</v>
      </c>
      <c r="C21" s="83" t="s">
        <v>162</v>
      </c>
      <c r="D21" s="83" t="s">
        <v>183</v>
      </c>
      <c r="E21" s="83"/>
      <c r="F21" s="83" t="s">
        <v>195</v>
      </c>
      <c r="G21" s="86">
        <v>40940</v>
      </c>
      <c r="H21" s="86">
        <v>40940</v>
      </c>
      <c r="I21" s="83"/>
      <c r="J21" s="83"/>
      <c r="K21" s="83"/>
      <c r="L21" s="83"/>
    </row>
    <row r="22" spans="1:12">
      <c r="A22" s="83"/>
      <c r="B22" s="83" t="s">
        <v>91</v>
      </c>
      <c r="C22" s="83" t="s">
        <v>163</v>
      </c>
      <c r="D22" s="83" t="s">
        <v>184</v>
      </c>
      <c r="E22" s="83"/>
      <c r="F22" s="83" t="s">
        <v>195</v>
      </c>
      <c r="G22" s="86">
        <v>40940</v>
      </c>
      <c r="H22" s="86">
        <v>40940</v>
      </c>
      <c r="I22" s="83"/>
      <c r="J22" s="83"/>
      <c r="K22" s="83"/>
      <c r="L22" s="83"/>
    </row>
    <row r="23" spans="1:12">
      <c r="A23" s="83"/>
      <c r="B23" s="83" t="s">
        <v>92</v>
      </c>
      <c r="C23" s="83" t="s">
        <v>164</v>
      </c>
      <c r="D23" s="83" t="s">
        <v>185</v>
      </c>
      <c r="E23" s="83"/>
      <c r="F23" s="83" t="s">
        <v>195</v>
      </c>
      <c r="G23" s="86">
        <v>40940</v>
      </c>
      <c r="H23" s="86">
        <v>40940</v>
      </c>
      <c r="I23" s="83"/>
      <c r="J23" s="83"/>
      <c r="K23" s="83"/>
      <c r="L23" s="83"/>
    </row>
    <row r="24" spans="1:12">
      <c r="A24" s="83"/>
      <c r="B24" s="83" t="s">
        <v>93</v>
      </c>
      <c r="C24" s="83" t="s">
        <v>165</v>
      </c>
      <c r="D24" s="83" t="s">
        <v>186</v>
      </c>
      <c r="E24" s="83"/>
      <c r="F24" s="83" t="s">
        <v>195</v>
      </c>
      <c r="G24" s="86">
        <v>40940</v>
      </c>
      <c r="H24" s="86">
        <v>40940</v>
      </c>
      <c r="I24" s="83"/>
      <c r="J24" s="83"/>
      <c r="K24" s="83"/>
      <c r="L24" s="83"/>
    </row>
    <row r="25" spans="1:12">
      <c r="A25" s="83"/>
      <c r="B25" s="83" t="s">
        <v>94</v>
      </c>
      <c r="C25" s="83" t="s">
        <v>166</v>
      </c>
      <c r="D25" s="83" t="s">
        <v>187</v>
      </c>
      <c r="E25" s="83"/>
      <c r="F25" s="83" t="s">
        <v>195</v>
      </c>
      <c r="G25" s="86">
        <v>40940</v>
      </c>
      <c r="H25" s="86">
        <v>40940</v>
      </c>
      <c r="I25" s="83"/>
      <c r="J25" s="83"/>
      <c r="K25" s="83"/>
      <c r="L25" s="83"/>
    </row>
    <row r="26" spans="1:12">
      <c r="A26" s="83"/>
      <c r="B26" s="83" t="s">
        <v>95</v>
      </c>
      <c r="C26" s="83" t="s">
        <v>167</v>
      </c>
      <c r="D26" s="83" t="s">
        <v>194</v>
      </c>
      <c r="E26" s="83"/>
      <c r="F26" s="83" t="s">
        <v>195</v>
      </c>
      <c r="G26" s="86">
        <v>40940</v>
      </c>
      <c r="H26" s="86">
        <v>40940</v>
      </c>
      <c r="I26" s="83"/>
      <c r="J26" s="83"/>
      <c r="K26" s="83"/>
      <c r="L26" s="83"/>
    </row>
    <row r="27" spans="1:12">
      <c r="A27" s="83"/>
      <c r="B27" s="83" t="s">
        <v>96</v>
      </c>
      <c r="C27" s="83" t="s">
        <v>168</v>
      </c>
      <c r="D27" s="83" t="s">
        <v>188</v>
      </c>
      <c r="E27" s="83"/>
      <c r="F27" s="83" t="s">
        <v>195</v>
      </c>
      <c r="G27" s="86">
        <v>40940</v>
      </c>
      <c r="H27" s="86">
        <v>40940</v>
      </c>
      <c r="I27" s="83"/>
      <c r="J27" s="83"/>
      <c r="K27" s="83"/>
      <c r="L27" s="83"/>
    </row>
    <row r="28" spans="1:12">
      <c r="A28" s="83"/>
      <c r="B28" s="83" t="s">
        <v>97</v>
      </c>
      <c r="C28" s="83" t="s">
        <v>169</v>
      </c>
      <c r="D28" s="83" t="s">
        <v>188</v>
      </c>
      <c r="E28" s="83"/>
      <c r="F28" s="83" t="s">
        <v>195</v>
      </c>
      <c r="G28" s="86">
        <v>40940</v>
      </c>
      <c r="H28" s="86">
        <v>40940</v>
      </c>
      <c r="I28" s="83"/>
      <c r="J28" s="83"/>
      <c r="K28" s="83"/>
      <c r="L28" s="83"/>
    </row>
    <row r="29" spans="1:12">
      <c r="A29" s="83"/>
      <c r="B29" s="83" t="s">
        <v>98</v>
      </c>
      <c r="C29" s="83" t="s">
        <v>170</v>
      </c>
      <c r="D29" s="83" t="s">
        <v>189</v>
      </c>
      <c r="E29" s="83"/>
      <c r="F29" s="83" t="s">
        <v>195</v>
      </c>
      <c r="G29" s="86">
        <v>40940</v>
      </c>
      <c r="H29" s="86">
        <v>40940</v>
      </c>
      <c r="I29" s="83"/>
      <c r="J29" s="83"/>
      <c r="K29" s="83"/>
      <c r="L29" s="83"/>
    </row>
    <row r="30" spans="1:12">
      <c r="A30" s="83"/>
      <c r="B30" s="83" t="s">
        <v>99</v>
      </c>
      <c r="C30" s="83" t="s">
        <v>171</v>
      </c>
      <c r="D30" s="83" t="s">
        <v>188</v>
      </c>
      <c r="E30" s="83"/>
      <c r="F30" s="83" t="s">
        <v>195</v>
      </c>
      <c r="G30" s="86">
        <v>40940</v>
      </c>
      <c r="H30" s="86">
        <v>40940</v>
      </c>
      <c r="I30" s="83"/>
      <c r="J30" s="83"/>
      <c r="K30" s="83"/>
      <c r="L30" s="83"/>
    </row>
    <row r="31" spans="1:12">
      <c r="A31" s="83"/>
      <c r="B31" s="83" t="s">
        <v>100</v>
      </c>
      <c r="C31" s="83" t="s">
        <v>172</v>
      </c>
      <c r="D31" s="83" t="s">
        <v>190</v>
      </c>
      <c r="E31" s="83"/>
      <c r="F31" s="83" t="s">
        <v>195</v>
      </c>
      <c r="G31" s="86">
        <v>40940</v>
      </c>
      <c r="H31" s="86">
        <v>40940</v>
      </c>
      <c r="I31" s="83"/>
      <c r="J31" s="83"/>
      <c r="K31" s="83"/>
      <c r="L31" s="83"/>
    </row>
    <row r="32" spans="1:12">
      <c r="A32" s="83"/>
      <c r="B32" s="83" t="s">
        <v>101</v>
      </c>
      <c r="C32" s="83" t="s">
        <v>173</v>
      </c>
      <c r="D32" s="83" t="s">
        <v>191</v>
      </c>
      <c r="E32" s="83"/>
      <c r="F32" s="83" t="s">
        <v>195</v>
      </c>
      <c r="G32" s="86">
        <v>40940</v>
      </c>
      <c r="H32" s="86">
        <v>40940</v>
      </c>
      <c r="I32" s="83"/>
      <c r="J32" s="83"/>
      <c r="K32" s="83"/>
      <c r="L32" s="83"/>
    </row>
    <row r="33" spans="1:12">
      <c r="A33" s="83"/>
      <c r="B33" s="83" t="s">
        <v>102</v>
      </c>
      <c r="C33" s="83" t="s">
        <v>174</v>
      </c>
      <c r="D33" s="83" t="s">
        <v>192</v>
      </c>
      <c r="E33" s="83"/>
      <c r="F33" s="83" t="s">
        <v>195</v>
      </c>
      <c r="G33" s="86">
        <v>40940</v>
      </c>
      <c r="H33" s="86">
        <v>40940</v>
      </c>
      <c r="I33" s="83"/>
      <c r="J33" s="83"/>
      <c r="K33" s="83"/>
      <c r="L33" s="83"/>
    </row>
    <row r="34" spans="1:12">
      <c r="A34" s="83"/>
      <c r="B34" s="83" t="s">
        <v>103</v>
      </c>
      <c r="C34" s="83" t="s">
        <v>175</v>
      </c>
      <c r="D34" s="83" t="s">
        <v>193</v>
      </c>
      <c r="E34" s="83"/>
      <c r="F34" s="83" t="s">
        <v>195</v>
      </c>
      <c r="G34" s="86">
        <v>40940</v>
      </c>
      <c r="H34" s="86">
        <v>40940</v>
      </c>
      <c r="I34" s="83"/>
      <c r="J34" s="83"/>
      <c r="K34" s="83"/>
      <c r="L34" s="83"/>
    </row>
    <row r="35" spans="1:12">
      <c r="A35" s="83"/>
      <c r="B35" s="83" t="s">
        <v>104</v>
      </c>
      <c r="C35" s="83" t="s">
        <v>176</v>
      </c>
      <c r="D35" s="83" t="s">
        <v>188</v>
      </c>
      <c r="E35" s="83"/>
      <c r="F35" s="83" t="s">
        <v>195</v>
      </c>
      <c r="G35" s="86">
        <v>40940</v>
      </c>
      <c r="H35" s="86">
        <v>40940</v>
      </c>
      <c r="I35" s="83"/>
      <c r="J35" s="83"/>
      <c r="K35" s="83"/>
      <c r="L35" s="83"/>
    </row>
    <row r="36" spans="1:12">
      <c r="A36" s="83"/>
      <c r="B36" s="83"/>
      <c r="C36" s="83"/>
      <c r="D36" s="83"/>
      <c r="E36" s="83"/>
      <c r="F36" s="83"/>
      <c r="G36" s="83"/>
      <c r="H36" s="83"/>
      <c r="I36" s="83"/>
      <c r="J36" s="83"/>
      <c r="K36" s="83"/>
      <c r="L36" s="83"/>
    </row>
    <row r="37" spans="1:12">
      <c r="A37" s="83"/>
      <c r="B37" s="83"/>
      <c r="C37" s="83"/>
      <c r="D37" s="83"/>
      <c r="E37" s="83"/>
      <c r="F37" s="83"/>
      <c r="G37" s="83"/>
      <c r="H37" s="83"/>
      <c r="I37" s="83"/>
      <c r="J37" s="83"/>
      <c r="K37" s="83"/>
      <c r="L37" s="83"/>
    </row>
    <row r="38" spans="1:12">
      <c r="A38" s="83"/>
      <c r="B38" s="83"/>
      <c r="C38" s="83"/>
      <c r="D38" s="83"/>
      <c r="E38" s="83"/>
      <c r="F38" s="83"/>
      <c r="G38" s="83"/>
      <c r="H38" s="83"/>
      <c r="I38" s="83"/>
      <c r="J38" s="83"/>
      <c r="K38" s="83"/>
      <c r="L38" s="83"/>
    </row>
    <row r="39" spans="1:12">
      <c r="A39" s="83"/>
      <c r="B39" s="83"/>
      <c r="C39" s="83"/>
      <c r="D39" s="83"/>
      <c r="E39" s="83"/>
      <c r="F39" s="83"/>
      <c r="G39" s="83"/>
      <c r="H39" s="83"/>
      <c r="I39" s="83"/>
      <c r="J39" s="83"/>
      <c r="K39" s="83"/>
      <c r="L39" s="83"/>
    </row>
    <row r="40" spans="1:12">
      <c r="A40" s="83"/>
      <c r="B40" s="83"/>
      <c r="C40" s="83"/>
      <c r="D40" s="83"/>
      <c r="E40" s="83"/>
      <c r="F40" s="83"/>
      <c r="G40" s="83"/>
      <c r="H40" s="83"/>
      <c r="I40" s="83"/>
      <c r="J40" s="83"/>
      <c r="K40" s="83"/>
      <c r="L40" s="83"/>
    </row>
    <row r="41" spans="1:12">
      <c r="A41" s="83"/>
      <c r="B41" s="83"/>
      <c r="C41" s="83"/>
      <c r="D41" s="83"/>
      <c r="E41" s="83"/>
      <c r="F41" s="83"/>
      <c r="G41" s="83"/>
      <c r="H41" s="83"/>
      <c r="I41" s="83"/>
      <c r="J41" s="83"/>
      <c r="K41" s="83"/>
      <c r="L41" s="83"/>
    </row>
    <row r="42" spans="1:12">
      <c r="A42" s="83"/>
      <c r="B42" s="83"/>
      <c r="C42" s="83"/>
      <c r="D42" s="83"/>
      <c r="E42" s="83"/>
      <c r="F42" s="83"/>
      <c r="G42" s="83"/>
      <c r="H42" s="83"/>
      <c r="I42" s="83"/>
      <c r="J42" s="83"/>
      <c r="K42" s="83"/>
      <c r="L42" s="83"/>
    </row>
    <row r="43" spans="1:12">
      <c r="A43" s="83"/>
      <c r="B43" s="83"/>
      <c r="C43" s="83"/>
      <c r="D43" s="83"/>
      <c r="E43" s="83"/>
      <c r="F43" s="83"/>
      <c r="G43" s="83"/>
      <c r="H43" s="83"/>
      <c r="I43" s="83"/>
      <c r="J43" s="83"/>
      <c r="K43" s="83"/>
      <c r="L43" s="83"/>
    </row>
    <row r="44" spans="1:12">
      <c r="A44" s="83"/>
      <c r="B44" s="83"/>
      <c r="C44" s="83"/>
      <c r="D44" s="83"/>
      <c r="E44" s="83"/>
      <c r="F44" s="83"/>
      <c r="G44" s="83"/>
      <c r="H44" s="83"/>
      <c r="I44" s="83"/>
      <c r="J44" s="83"/>
      <c r="K44" s="83"/>
      <c r="L44" s="83"/>
    </row>
    <row r="45" spans="1:12">
      <c r="A45" s="83"/>
      <c r="B45" s="83"/>
      <c r="C45" s="83"/>
      <c r="D45" s="83"/>
      <c r="E45" s="83"/>
      <c r="F45" s="83"/>
      <c r="G45" s="83"/>
      <c r="H45" s="83"/>
      <c r="I45" s="83"/>
      <c r="J45" s="83"/>
      <c r="K45" s="83"/>
      <c r="L45" s="83"/>
    </row>
    <row r="46" spans="1:12">
      <c r="A46" s="83"/>
      <c r="B46" s="83"/>
      <c r="C46" s="83"/>
      <c r="D46" s="83"/>
      <c r="E46" s="83"/>
      <c r="F46" s="83"/>
      <c r="G46" s="83"/>
      <c r="H46" s="83"/>
      <c r="I46" s="83"/>
      <c r="J46" s="83"/>
      <c r="K46" s="83"/>
      <c r="L46" s="83"/>
    </row>
    <row r="47" spans="1:12">
      <c r="A47" s="83"/>
      <c r="B47" s="83"/>
      <c r="C47" s="83"/>
      <c r="D47" s="83"/>
      <c r="E47" s="83"/>
      <c r="F47" s="83"/>
      <c r="G47" s="83"/>
      <c r="H47" s="83"/>
      <c r="I47" s="83"/>
      <c r="J47" s="83"/>
      <c r="K47" s="83"/>
      <c r="L47" s="83"/>
    </row>
    <row r="48" spans="1:12">
      <c r="A48" s="83"/>
      <c r="B48" s="83"/>
      <c r="C48" s="83"/>
      <c r="D48" s="83"/>
      <c r="E48" s="83"/>
      <c r="F48" s="83"/>
      <c r="G48" s="83"/>
      <c r="H48" s="83"/>
      <c r="I48" s="83"/>
      <c r="J48" s="83"/>
      <c r="K48" s="83"/>
      <c r="L48" s="83"/>
    </row>
    <row r="49" spans="1:12">
      <c r="A49" s="83"/>
      <c r="B49" s="83"/>
      <c r="C49" s="83"/>
      <c r="D49" s="83"/>
      <c r="E49" s="83"/>
      <c r="F49" s="83"/>
      <c r="G49" s="83"/>
      <c r="H49" s="83"/>
      <c r="I49" s="83"/>
      <c r="J49" s="83"/>
      <c r="K49" s="83"/>
      <c r="L49" s="83"/>
    </row>
    <row r="50" spans="1:12">
      <c r="A50" s="83"/>
      <c r="B50" s="83"/>
      <c r="C50" s="83"/>
      <c r="D50" s="83"/>
      <c r="E50" s="83"/>
      <c r="F50" s="83"/>
      <c r="G50" s="83"/>
      <c r="H50" s="83"/>
      <c r="I50" s="83"/>
      <c r="J50" s="83"/>
      <c r="K50" s="83"/>
      <c r="L50" s="83"/>
    </row>
    <row r="51" spans="1:12">
      <c r="A51" s="83"/>
      <c r="B51" s="83"/>
      <c r="C51" s="83"/>
      <c r="D51" s="83"/>
      <c r="E51" s="83"/>
      <c r="F51" s="83"/>
      <c r="G51" s="83"/>
      <c r="H51" s="83"/>
      <c r="I51" s="83"/>
      <c r="J51" s="83"/>
      <c r="K51" s="83"/>
      <c r="L51" s="83"/>
    </row>
    <row r="52" spans="1:12">
      <c r="A52" s="83"/>
      <c r="B52" s="83"/>
      <c r="C52" s="83"/>
      <c r="D52" s="83"/>
      <c r="E52" s="83"/>
      <c r="F52" s="83"/>
      <c r="G52" s="83"/>
      <c r="H52" s="83"/>
      <c r="I52" s="83"/>
      <c r="J52" s="83"/>
      <c r="K52" s="83"/>
      <c r="L52" s="83"/>
    </row>
    <row r="53" spans="1:12">
      <c r="A53" s="83"/>
      <c r="B53" s="83"/>
      <c r="C53" s="83"/>
      <c r="D53" s="83"/>
      <c r="E53" s="83"/>
      <c r="F53" s="83"/>
      <c r="G53" s="83"/>
      <c r="H53" s="83"/>
      <c r="I53" s="83"/>
      <c r="J53" s="83"/>
      <c r="K53" s="83"/>
      <c r="L53" s="83"/>
    </row>
    <row r="54" spans="1:12">
      <c r="A54" s="83"/>
      <c r="B54" s="83"/>
      <c r="C54" s="83"/>
      <c r="D54" s="83"/>
      <c r="E54" s="83"/>
      <c r="F54" s="83"/>
      <c r="G54" s="83"/>
      <c r="H54" s="83"/>
      <c r="I54" s="83"/>
      <c r="J54" s="83"/>
      <c r="K54" s="83"/>
      <c r="L54" s="83"/>
    </row>
  </sheetData>
  <mergeCells count="5">
    <mergeCell ref="A1:L1"/>
    <mergeCell ref="A2:L2"/>
    <mergeCell ref="A3:L3"/>
    <mergeCell ref="A4:L4"/>
    <mergeCell ref="A5:L5"/>
  </mergeCells>
  <printOptions horizontalCentered="1"/>
  <pageMargins left="0.5" right="0.5"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
  <sheetViews>
    <sheetView workbookViewId="0">
      <selection activeCell="L16" sqref="L16"/>
    </sheetView>
  </sheetViews>
  <sheetFormatPr defaultRowHeight="12.75"/>
  <sheetData/>
  <pageMargins left="0.7" right="0.7" top="0.75" bottom="0.75" header="0.3" footer="0.3"/>
  <pageSetup paperSize="9" orientation="portrait" verticalDpi="0" r:id="rId1"/>
  <legacyDrawing r:id="rId2"/>
  <oleObjects>
    <oleObject progId="AcroExch.Document.7" shapeId="3073" r:id="rId3"/>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Form-6A</vt:lpstr>
      <vt:lpstr>Form-3A</vt:lpstr>
      <vt:lpstr>Monthly wages</vt:lpstr>
      <vt:lpstr>Form No -9</vt:lpstr>
      <vt:lpstr>Form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Payroll</dc:title>
  <dc:creator>lenovo; Saket Kumar</dc:creator>
  <cp:keywords>saket kumar</cp:keywords>
  <cp:lastModifiedBy>lenovo</cp:lastModifiedBy>
  <cp:lastPrinted>2012-12-06T12:55:16Z</cp:lastPrinted>
  <dcterms:created xsi:type="dcterms:W3CDTF">2012-11-10T05:48:46Z</dcterms:created>
  <dcterms:modified xsi:type="dcterms:W3CDTF">2012-12-06T12:55:39Z</dcterms:modified>
</cp:coreProperties>
</file>