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30" windowWidth="8370" windowHeight="4725" tabRatio="594" firstSheet="3" activeTab="11"/>
  </bookViews>
  <sheets>
    <sheet name="Contents" sheetId="8" r:id="rId1"/>
    <sheet name="Key Indicators" sheetId="9" r:id="rId2"/>
    <sheet name="Monthly P &amp; L" sheetId="4" r:id="rId3"/>
    <sheet name="Cash Flow" sheetId="10" r:id="rId4"/>
    <sheet name="GEN. O.H" sheetId="3" r:id="rId5"/>
    <sheet name="Capex" sheetId="7" r:id="rId6"/>
    <sheet name="Staff requirements" sheetId="6" r:id="rId7"/>
    <sheet name="Cover Sheet" sheetId="16" r:id="rId8"/>
    <sheet name="CostFlow" sheetId="14" r:id="rId9"/>
    <sheet name="COS" sheetId="5" r:id="rId10"/>
    <sheet name="Bud Sche" sheetId="15" r:id="rId11"/>
    <sheet name="SALES" sheetId="2" r:id="rId12"/>
    <sheet name="Balance Sheet" sheetId="11" r:id="rId13"/>
    <sheet name="YTD Nov 01 PL" sheetId="23" r:id="rId14"/>
    <sheet name="INC.STATE" sheetId="1" r:id="rId15"/>
    <sheet name="Sheet4" sheetId="24" r:id="rId16"/>
    <sheet name="Sheet2" sheetId="21" r:id="rId17"/>
    <sheet name="Sheet3" sheetId="22" r:id="rId18"/>
    <sheet name="Staff Costs" sheetId="13" r:id="rId19"/>
    <sheet name="Sheet1" sheetId="17" r:id="rId20"/>
    <sheet name="Chart3" sheetId="20" r:id="rId21"/>
    <sheet name="Schedules" sheetId="12" r:id="rId22"/>
  </sheets>
  <externalReferences>
    <externalReference r:id="rId23"/>
    <externalReference r:id="rId24"/>
    <externalReference r:id="rId25"/>
  </externalReferences>
  <definedNames>
    <definedName name="BALANCE.SHEET">#REF!</definedName>
    <definedName name="CASH.FLOW">#REF!</definedName>
    <definedName name="COS">#REF!</definedName>
    <definedName name="GENERAL.OVERHEADS">'GEN. O.H'!$C$30</definedName>
    <definedName name="INC.STATEMENT">INC.STATE!$G$36</definedName>
    <definedName name="MONTHLY.P.L">'Monthly P &amp; L'!$D$38</definedName>
    <definedName name="_xlnm.Print_Area" localSheetId="9">COS!$A$1:$CG$81</definedName>
    <definedName name="_xlnm.Print_Area" localSheetId="4">'GEN. O.H'!$A$1:$U$163</definedName>
    <definedName name="_xlnm.Print_Area" localSheetId="2">'Monthly P &amp; L'!$A$1:$Q$50</definedName>
    <definedName name="_xlnm.Print_Area" localSheetId="11">SALES!$A$1:$AM$60</definedName>
    <definedName name="_xlnm.Print_Titles" localSheetId="4">'GEN. O.H'!$1:$2</definedName>
    <definedName name="_xlnm.Print_Titles" localSheetId="2">'Monthly P &amp; L'!$1:$2</definedName>
    <definedName name="_xlnm.Print_Titles" localSheetId="11">SALES!$A:$B</definedName>
    <definedName name="SALES">SALES!$D$51</definedName>
    <definedName name="wrn.1999._.E.T.Financials." localSheetId="4" hidden="1">{#N/A,#N/A,TRUE,"INC.STATE";#N/A,#N/A,TRUE,"Monthly P &amp; L";#N/A,#N/A,TRUE,"SALES";#N/A,#N/A,TRUE,"COS";#N/A,#N/A,TRUE,"CASH FLOW";#N/A,#N/A,TRUE,"GEN. O.H";#N/A,#N/A,TRUE,"BEP";#N/A,#N/A,TRUE,"BALANCE SHEET";#N/A,#N/A,TRUE,"B.S SCHEDULES";#N/A,#N/A,TRUE,"CAPEX";#N/A,#N/A,TRUE,"STAFF REQ."}</definedName>
    <definedName name="wrn.1999._.E.T.Financials." localSheetId="2" hidden="1">{#N/A,#N/A,TRUE,"INC.STATE";#N/A,#N/A,TRUE,"Monthly P &amp; L";#N/A,#N/A,TRUE,"SALES";#N/A,#N/A,TRUE,"COS";#N/A,#N/A,TRUE,"CASH FLOW";#N/A,#N/A,TRUE,"GEN. O.H";#N/A,#N/A,TRUE,"BEP";#N/A,#N/A,TRUE,"BALANCE SHEET";#N/A,#N/A,TRUE,"B.S SCHEDULES";#N/A,#N/A,TRUE,"CAPEX";#N/A,#N/A,TRUE,"STAFF REQ."}</definedName>
    <definedName name="wrn.1999._.E.T.Financials." localSheetId="11" hidden="1">{#N/A,#N/A,TRUE,"INC.STATE";#N/A,#N/A,TRUE,"Monthly P &amp; L";#N/A,#N/A,TRUE,"SALES";#N/A,#N/A,TRUE,"COS";#N/A,#N/A,TRUE,"CASH FLOW";#N/A,#N/A,TRUE,"GEN. O.H";#N/A,#N/A,TRUE,"BEP";#N/A,#N/A,TRUE,"BALANCE SHEET";#N/A,#N/A,TRUE,"B.S SCHEDULES";#N/A,#N/A,TRUE,"CAPEX";#N/A,#N/A,TRUE,"STAFF REQ."}</definedName>
    <definedName name="wrn.1999._.E.T.Financials." hidden="1">{#N/A,#N/A,TRUE,"INC.STATE";#N/A,#N/A,TRUE,"Monthly P &amp; L";#N/A,#N/A,TRUE,"SALES";#N/A,#N/A,TRUE,"COS";#N/A,#N/A,TRUE,"CASH FLOW";#N/A,#N/A,TRUE,"GEN. O.H";#N/A,#N/A,TRUE,"BEP";#N/A,#N/A,TRUE,"BALANCE SHEET";#N/A,#N/A,TRUE,"B.S SCHEDULES";#N/A,#N/A,TRUE,"CAPEX";#N/A,#N/A,TRUE,"STAFF REQ."}</definedName>
    <definedName name="wrn.ACD._.FINANCIALS." localSheetId="4" hidden="1">{#N/A,#N/A,FALSE,"STAFF REQ.";#N/A,#N/A,FALSE,"OFF.RENT";#N/A,#N/A,FALSE,"OVERHEADS";#N/A,#N/A,FALSE,"O.H SUMMARY";#N/A,#N/A,FALSE,"MANHOURS";#N/A,#N/A,FALSE,"CAP.EXP.";#N/A,#N/A,FALSE,"ADMIN ALLO.";#N/A,#N/A,FALSE,"DEPT.RATE";#N/A,#N/A,FALSE,"SALES BUD";#N/A,#N/A,FALSE,"INCOME STATE.";#N/A,#N/A,FALSE,"CASH FLOW"}</definedName>
    <definedName name="wrn.ACD._.FINANCIALS." localSheetId="14" hidden="1">{#N/A,#N/A,FALSE,"STAFF REQ.";#N/A,#N/A,FALSE,"OFF.RENT";#N/A,#N/A,FALSE,"OVERHEADS";#N/A,#N/A,FALSE,"O.H SUMMARY";#N/A,#N/A,FALSE,"MANHOURS";#N/A,#N/A,FALSE,"CAP.EXP.";#N/A,#N/A,FALSE,"ADMIN ALLO.";#N/A,#N/A,FALSE,"DEPT.RATE";#N/A,#N/A,FALSE,"SALES BUD";#N/A,#N/A,FALSE,"INCOME STATE.";#N/A,#N/A,FALSE,"CASH FLOW"}</definedName>
    <definedName name="wrn.ACD._.FINANCIALS." localSheetId="2" hidden="1">{#N/A,#N/A,FALSE,"STAFF REQ.";#N/A,#N/A,FALSE,"OFF.RENT";#N/A,#N/A,FALSE,"OVERHEADS";#N/A,#N/A,FALSE,"O.H SUMMARY";#N/A,#N/A,FALSE,"MANHOURS";#N/A,#N/A,FALSE,"CAP.EXP.";#N/A,#N/A,FALSE,"ADMIN ALLO.";#N/A,#N/A,FALSE,"DEPT.RATE";#N/A,#N/A,FALSE,"SALES BUD";#N/A,#N/A,FALSE,"INCOME STATE.";#N/A,#N/A,FALSE,"CASH FLOW"}</definedName>
    <definedName name="wrn.ACD._.FINANCIALS." localSheetId="11" hidden="1">{#N/A,#N/A,FALSE,"STAFF REQ.";#N/A,#N/A,FALSE,"OFF.RENT";#N/A,#N/A,FALSE,"OVERHEADS";#N/A,#N/A,FALSE,"O.H SUMMARY";#N/A,#N/A,FALSE,"MANHOURS";#N/A,#N/A,FALSE,"CAP.EXP.";#N/A,#N/A,FALSE,"ADMIN ALLO.";#N/A,#N/A,FALSE,"DEPT.RATE";#N/A,#N/A,FALSE,"SALES BUD";#N/A,#N/A,FALSE,"INCOME STATE.";#N/A,#N/A,FALSE,"CASH FLOW"}</definedName>
    <definedName name="wrn.BUDGET98." localSheetId="4" hidden="1">{#N/A,#N/A,TRUE,"CONTENTS";#N/A,#N/A,TRUE,"INC.STATE(97)";#N/A,#N/A,TRUE,"I.S SCHED(97)";#N/A,#N/A,TRUE,"B.SHEET(97)";#N/A,#N/A,TRUE,"B.S SCHED(97))";#N/A,#N/A,TRUE,"STAFF REQ.";#N/A,#N/A,TRUE,"CAPEX";#N/A,#N/A,TRUE,"SALES";#N/A,#N/A,TRUE,"COS";#N/A,#N/A,TRUE,"GEN. O.H";#N/A,#N/A,TRUE,"CASH FLOW";#N/A,#N/A,TRUE,"INC.STATE(98)";#N/A,#N/A,TRUE,"BALANCE SHEET";#N/A,#N/A,TRUE,"B.S SCHEDULES"}</definedName>
    <definedName name="wrn.BUDGET98." localSheetId="14" hidden="1">{#N/A,#N/A,TRUE,"CONTENTS";#N/A,#N/A,TRUE,"INC.STATE(97)";#N/A,#N/A,TRUE,"I.S SCHED(97)";#N/A,#N/A,TRUE,"B.SHEET(97)";#N/A,#N/A,TRUE,"B.S SCHED(97))";#N/A,#N/A,TRUE,"STAFF REQ.";#N/A,#N/A,TRUE,"CAPEX";#N/A,#N/A,TRUE,"SALES";#N/A,#N/A,TRUE,"COS";#N/A,#N/A,TRUE,"GEN. O.H";#N/A,#N/A,TRUE,"CASH FLOW";#N/A,#N/A,TRUE,"INC.STATE(98)";#N/A,#N/A,TRUE,"BALANCE SHEET";#N/A,#N/A,TRUE,"B.S SCHEDULES"}</definedName>
    <definedName name="wrn.BUDGET98." localSheetId="2" hidden="1">{#N/A,#N/A,TRUE,"CONTENTS";#N/A,#N/A,TRUE,"INC.STATE(97)";#N/A,#N/A,TRUE,"I.S SCHED(97)";#N/A,#N/A,TRUE,"B.SHEET(97)";#N/A,#N/A,TRUE,"B.S SCHED(97))";#N/A,#N/A,TRUE,"STAFF REQ.";#N/A,#N/A,TRUE,"CAPEX";#N/A,#N/A,TRUE,"SALES";#N/A,#N/A,TRUE,"COS";#N/A,#N/A,TRUE,"GEN. O.H";#N/A,#N/A,TRUE,"CASH FLOW";#N/A,#N/A,TRUE,"INC.STATE(98)";#N/A,#N/A,TRUE,"BALANCE SHEET";#N/A,#N/A,TRUE,"B.S SCHEDULES"}</definedName>
    <definedName name="wrn.BUDGET98." localSheetId="11" hidden="1">{#N/A,#N/A,TRUE,"CONTENTS";#N/A,#N/A,TRUE,"INC.STATE(97)";#N/A,#N/A,TRUE,"I.S SCHED(97)";#N/A,#N/A,TRUE,"B.SHEET(97)";#N/A,#N/A,TRUE,"B.S SCHED(97))";#N/A,#N/A,TRUE,"STAFF REQ.";#N/A,#N/A,TRUE,"CAPEX";#N/A,#N/A,TRUE,"SALES";#N/A,#N/A,TRUE,"COS";#N/A,#N/A,TRUE,"GEN. O.H";#N/A,#N/A,TRUE,"CASH FLOW";#N/A,#N/A,TRUE,"INC.STATE(98)";#N/A,#N/A,TRUE,"BALANCE SHEET";#N/A,#N/A,TRUE,"B.S SCHEDULES"}</definedName>
    <definedName name="wrn.BUDGET98." hidden="1">{#N/A,#N/A,TRUE,"CONTENTS";#N/A,#N/A,TRUE,"INC.STATE(97)";#N/A,#N/A,TRUE,"I.S SCHED(97)";#N/A,#N/A,TRUE,"B.SHEET(97)";#N/A,#N/A,TRUE,"B.S SCHED(97))";#N/A,#N/A,TRUE,"STAFF REQ.";#N/A,#N/A,TRUE,"CAPEX";#N/A,#N/A,TRUE,"SALES";#N/A,#N/A,TRUE,"COS";#N/A,#N/A,TRUE,"GEN. O.H";#N/A,#N/A,TRUE,"CASH FLOW";#N/A,#N/A,TRUE,"INC.STATE(98)";#N/A,#N/A,TRUE,"BALANCE SHEET";#N/A,#N/A,TRUE,"B.S SCHEDULES"}</definedName>
    <definedName name="wrn.CREAT.AD._.Y1." localSheetId="4" hidden="1">{#N/A,#N/A,FALSE,"STAFF REQ.";#N/A,#N/A,FALSE,"CAP.EXP.";#N/A,#N/A,FALSE,"OVERHEADS(Y1)";#N/A,#N/A,FALSE,"PROD.SCHE (3YRS)";#N/A,#N/A,FALSE,"I.BANK";#N/A,#N/A,FALSE,"SALES BUD(Y1)";#N/A,#N/A,FALSE,"INCOME STATE(Y1)";#N/A,#N/A,FALSE,"CASH FLOW(Y1)"}</definedName>
    <definedName name="wrn.CREAT.AD._.Y1." localSheetId="14" hidden="1">{#N/A,#N/A,FALSE,"STAFF REQ.";#N/A,#N/A,FALSE,"CAP.EXP.";#N/A,#N/A,FALSE,"OVERHEADS(Y1)";#N/A,#N/A,FALSE,"PROD.SCHE (3YRS)";#N/A,#N/A,FALSE,"I.BANK";#N/A,#N/A,FALSE,"SALES BUD(Y1)";#N/A,#N/A,FALSE,"INCOME STATE(Y1)";#N/A,#N/A,FALSE,"CASH FLOW(Y1)"}</definedName>
    <definedName name="wrn.CREAT.AD._.Y1." localSheetId="2" hidden="1">{#N/A,#N/A,FALSE,"STAFF REQ.";#N/A,#N/A,FALSE,"CAP.EXP.";#N/A,#N/A,FALSE,"OVERHEADS(Y1)";#N/A,#N/A,FALSE,"PROD.SCHE (3YRS)";#N/A,#N/A,FALSE,"I.BANK";#N/A,#N/A,FALSE,"SALES BUD(Y1)";#N/A,#N/A,FALSE,"INCOME STATE(Y1)";#N/A,#N/A,FALSE,"CASH FLOW(Y1)"}</definedName>
    <definedName name="wrn.CREAT.AD._.Y1." localSheetId="11" hidden="1">{#N/A,#N/A,FALSE,"STAFF REQ.";#N/A,#N/A,FALSE,"CAP.EXP.";#N/A,#N/A,FALSE,"OVERHEADS(Y1)";#N/A,#N/A,FALSE,"PROD.SCHE (3YRS)";#N/A,#N/A,FALSE,"I.BANK";#N/A,#N/A,FALSE,"SALES BUD(Y1)";#N/A,#N/A,FALSE,"INCOME STATE(Y1)";#N/A,#N/A,FALSE,"CASH FLOW(Y1)"}</definedName>
    <definedName name="wrn.CREAT.AG.Y2." localSheetId="4" hidden="1">{#N/A,#N/A,FALSE,"OVERHEADS(Y2)";#N/A,#N/A,FALSE,"I.BANK (BEPY2)";#N/A,#N/A,FALSE,"I.B. (PRODY2) ";#N/A,#N/A,FALSE,"SALES BUD(Y2)";#N/A,#N/A,FALSE,"INCOME STATE(Y2)";#N/A,#N/A,FALSE,"CASH FLOW(Y2)"}</definedName>
    <definedName name="wrn.CREAT.AG.Y2." localSheetId="14" hidden="1">{#N/A,#N/A,FALSE,"OVERHEADS(Y2)";#N/A,#N/A,FALSE,"I.BANK (BEPY2)";#N/A,#N/A,FALSE,"I.B. (PRODY2) ";#N/A,#N/A,FALSE,"SALES BUD(Y2)";#N/A,#N/A,FALSE,"INCOME STATE(Y2)";#N/A,#N/A,FALSE,"CASH FLOW(Y2)"}</definedName>
    <definedName name="wrn.CREAT.AG.Y2." localSheetId="2" hidden="1">{#N/A,#N/A,FALSE,"OVERHEADS(Y2)";#N/A,#N/A,FALSE,"I.BANK (BEPY2)";#N/A,#N/A,FALSE,"I.B. (PRODY2) ";#N/A,#N/A,FALSE,"SALES BUD(Y2)";#N/A,#N/A,FALSE,"INCOME STATE(Y2)";#N/A,#N/A,FALSE,"CASH FLOW(Y2)"}</definedName>
    <definedName name="wrn.CREAT.AG.Y2." localSheetId="11" hidden="1">{#N/A,#N/A,FALSE,"OVERHEADS(Y2)";#N/A,#N/A,FALSE,"I.BANK (BEPY2)";#N/A,#N/A,FALSE,"I.B. (PRODY2) ";#N/A,#N/A,FALSE,"SALES BUD(Y2)";#N/A,#N/A,FALSE,"INCOME STATE(Y2)";#N/A,#N/A,FALSE,"CASH FLOW(Y2)"}</definedName>
    <definedName name="wrn.CREAT.AG.Y3." localSheetId="4" hidden="1">{#N/A,#N/A,FALSE,"OVERHEADS(Y3)";#N/A,#N/A,FALSE,"I.B. (BEPY3)";#N/A,#N/A,FALSE,"I.B.(PROD.Y3) ";#N/A,#N/A,FALSE,"SALES BUD(Y3)";#N/A,#N/A,FALSE,"INCOME STATE(Y3)";#N/A,#N/A,FALSE,"CASH FLOW(Y3)"}</definedName>
    <definedName name="wrn.CREAT.AG.Y3." localSheetId="14" hidden="1">{#N/A,#N/A,FALSE,"OVERHEADS(Y3)";#N/A,#N/A,FALSE,"I.B. (BEPY3)";#N/A,#N/A,FALSE,"I.B.(PROD.Y3) ";#N/A,#N/A,FALSE,"SALES BUD(Y3)";#N/A,#N/A,FALSE,"INCOME STATE(Y3)";#N/A,#N/A,FALSE,"CASH FLOW(Y3)"}</definedName>
    <definedName name="wrn.CREAT.AG.Y3." localSheetId="2" hidden="1">{#N/A,#N/A,FALSE,"OVERHEADS(Y3)";#N/A,#N/A,FALSE,"I.B. (BEPY3)";#N/A,#N/A,FALSE,"I.B.(PROD.Y3) ";#N/A,#N/A,FALSE,"SALES BUD(Y3)";#N/A,#N/A,FALSE,"INCOME STATE(Y3)";#N/A,#N/A,FALSE,"CASH FLOW(Y3)"}</definedName>
    <definedName name="wrn.CREAT.AG.Y3." localSheetId="11" hidden="1">{#N/A,#N/A,FALSE,"OVERHEADS(Y3)";#N/A,#N/A,FALSE,"I.B. (BEPY3)";#N/A,#N/A,FALSE,"I.B.(PROD.Y3) ";#N/A,#N/A,FALSE,"SALES BUD(Y3)";#N/A,#N/A,FALSE,"INCOME STATE(Y3)";#N/A,#N/A,FALSE,"CASH FLOW(Y3)"}</definedName>
    <definedName name="wrn.CREATAG." localSheetId="4" hidden="1">{#N/A,#N/A,FALSE,"CONTENTS";#N/A,#N/A,FALSE,"ASSUMPTIONS";#N/A,#N/A,FALSE,"FIN.INDI";#N/A,#N/A,FALSE,"STAFF REQ.";#N/A,#N/A,FALSE,"CAP.EXP.";#N/A,#N/A,FALSE,"PRE.OP";#N/A,#N/A,FALSE,"OVERHEADS(Y1)";#N/A,#N/A,FALSE,"SALES BUD(Y1)";#N/A,#N/A,FALSE,"INCOME STATE(Y1)";#N/A,#N/A,FALSE,"CASH FLOW(Y1)";#N/A,#N/A,FALSE,"B.SHEET(Y1)";#N/A,#N/A,FALSE,"OVERHEADS(Y2)";#N/A,#N/A,FALSE,"SALES BUD(Y2)";#N/A,#N/A,FALSE,"INCOME STATE(Y2)";#N/A,#N/A,FALSE,"CASH FLOW(Y2)";#N/A,#N/A,FALSE,"B.SHEET(Y2)";#N/A,#N/A,FALSE,"OVERHEADS(Y3)";#N/A,#N/A,FALSE,"SALES BUD(Y3)";#N/A,#N/A,FALSE,"INCOME STATE(Y3)";#N/A,#N/A,FALSE,"CASH FLOW(Y3)";#N/A,#N/A,FALSE,"B.SHEET(Y3)";#N/A,#N/A,FALSE,"SUM (3 YRS)";#N/A,#N/A,FALSE,"SENSITIVITY"}</definedName>
    <definedName name="wrn.CREATAG." localSheetId="14" hidden="1">{#N/A,#N/A,FALSE,"CONTENTS";#N/A,#N/A,FALSE,"ASSUMPTIONS";#N/A,#N/A,FALSE,"FIN.INDI";#N/A,#N/A,FALSE,"STAFF REQ.";#N/A,#N/A,FALSE,"CAP.EXP.";#N/A,#N/A,FALSE,"PRE.OP";#N/A,#N/A,FALSE,"OVERHEADS(Y1)";#N/A,#N/A,FALSE,"SALES BUD(Y1)";#N/A,#N/A,FALSE,"INCOME STATE(Y1)";#N/A,#N/A,FALSE,"CASH FLOW(Y1)";#N/A,#N/A,FALSE,"B.SHEET(Y1)";#N/A,#N/A,FALSE,"OVERHEADS(Y2)";#N/A,#N/A,FALSE,"SALES BUD(Y2)";#N/A,#N/A,FALSE,"INCOME STATE(Y2)";#N/A,#N/A,FALSE,"CASH FLOW(Y2)";#N/A,#N/A,FALSE,"B.SHEET(Y2)";#N/A,#N/A,FALSE,"OVERHEADS(Y3)";#N/A,#N/A,FALSE,"SALES BUD(Y3)";#N/A,#N/A,FALSE,"INCOME STATE(Y3)";#N/A,#N/A,FALSE,"CASH FLOW(Y3)";#N/A,#N/A,FALSE,"B.SHEET(Y3)";#N/A,#N/A,FALSE,"SUM (3 YRS)";#N/A,#N/A,FALSE,"SENSITIVITY"}</definedName>
    <definedName name="wrn.CREATAG." localSheetId="2" hidden="1">{#N/A,#N/A,FALSE,"CONTENTS";#N/A,#N/A,FALSE,"ASSUMPTIONS";#N/A,#N/A,FALSE,"FIN.INDI";#N/A,#N/A,FALSE,"STAFF REQ.";#N/A,#N/A,FALSE,"CAP.EXP.";#N/A,#N/A,FALSE,"PRE.OP";#N/A,#N/A,FALSE,"OVERHEADS(Y1)";#N/A,#N/A,FALSE,"SALES BUD(Y1)";#N/A,#N/A,FALSE,"INCOME STATE(Y1)";#N/A,#N/A,FALSE,"CASH FLOW(Y1)";#N/A,#N/A,FALSE,"B.SHEET(Y1)";#N/A,#N/A,FALSE,"OVERHEADS(Y2)";#N/A,#N/A,FALSE,"SALES BUD(Y2)";#N/A,#N/A,FALSE,"INCOME STATE(Y2)";#N/A,#N/A,FALSE,"CASH FLOW(Y2)";#N/A,#N/A,FALSE,"B.SHEET(Y2)";#N/A,#N/A,FALSE,"OVERHEADS(Y3)";#N/A,#N/A,FALSE,"SALES BUD(Y3)";#N/A,#N/A,FALSE,"INCOME STATE(Y3)";#N/A,#N/A,FALSE,"CASH FLOW(Y3)";#N/A,#N/A,FALSE,"B.SHEET(Y3)";#N/A,#N/A,FALSE,"SUM (3 YRS)";#N/A,#N/A,FALSE,"SENSITIVITY"}</definedName>
    <definedName name="wrn.CREATAG." localSheetId="11" hidden="1">{#N/A,#N/A,FALSE,"CONTENTS";#N/A,#N/A,FALSE,"ASSUMPTIONS";#N/A,#N/A,FALSE,"FIN.INDI";#N/A,#N/A,FALSE,"STAFF REQ.";#N/A,#N/A,FALSE,"CAP.EXP.";#N/A,#N/A,FALSE,"PRE.OP";#N/A,#N/A,FALSE,"OVERHEADS(Y1)";#N/A,#N/A,FALSE,"SALES BUD(Y1)";#N/A,#N/A,FALSE,"INCOME STATE(Y1)";#N/A,#N/A,FALSE,"CASH FLOW(Y1)";#N/A,#N/A,FALSE,"B.SHEET(Y1)";#N/A,#N/A,FALSE,"OVERHEADS(Y2)";#N/A,#N/A,FALSE,"SALES BUD(Y2)";#N/A,#N/A,FALSE,"INCOME STATE(Y2)";#N/A,#N/A,FALSE,"CASH FLOW(Y2)";#N/A,#N/A,FALSE,"B.SHEET(Y2)";#N/A,#N/A,FALSE,"OVERHEADS(Y3)";#N/A,#N/A,FALSE,"SALES BUD(Y3)";#N/A,#N/A,FALSE,"INCOME STATE(Y3)";#N/A,#N/A,FALSE,"CASH FLOW(Y3)";#N/A,#N/A,FALSE,"B.SHEET(Y3)";#N/A,#N/A,FALSE,"SUM (3 YRS)";#N/A,#N/A,FALSE,"SENSITIVITY"}</definedName>
    <definedName name="wrn.CREATAG." hidden="1">{#N/A,#N/A,FALSE,"CONTENTS";#N/A,#N/A,FALSE,"ASSUMPTIONS";#N/A,#N/A,FALSE,"FIN.INDI";#N/A,#N/A,FALSE,"STAFF REQ.";#N/A,#N/A,FALSE,"CAP.EXP.";#N/A,#N/A,FALSE,"PRE.OP";#N/A,#N/A,FALSE,"OVERHEADS(Y1)";#N/A,#N/A,FALSE,"SALES BUD(Y1)";#N/A,#N/A,FALSE,"INCOME STATE(Y1)";#N/A,#N/A,FALSE,"CASH FLOW(Y1)";#N/A,#N/A,FALSE,"B.SHEET(Y1)";#N/A,#N/A,FALSE,"OVERHEADS(Y2)";#N/A,#N/A,FALSE,"SALES BUD(Y2)";#N/A,#N/A,FALSE,"INCOME STATE(Y2)";#N/A,#N/A,FALSE,"CASH FLOW(Y2)";#N/A,#N/A,FALSE,"B.SHEET(Y2)";#N/A,#N/A,FALSE,"OVERHEADS(Y3)";#N/A,#N/A,FALSE,"SALES BUD(Y3)";#N/A,#N/A,FALSE,"INCOME STATE(Y3)";#N/A,#N/A,FALSE,"CASH FLOW(Y3)";#N/A,#N/A,FALSE,"B.SHEET(Y3)";#N/A,#N/A,FALSE,"SUM (3 YRS)";#N/A,#N/A,FALSE,"SENSITIVITY"}</definedName>
    <definedName name="wrn.E.T._.Dxb._.Financial._.Plan._.Version._.1.0." localSheetId="4" hidden="1">{#N/A,#N/A,TRUE,"INC.STATE(98)";#N/A,#N/A,TRUE,"SALES";#N/A,#N/A,TRUE,"COS";#N/A,#N/A,TRUE,"CASH FLOW";#N/A,#N/A,TRUE,"BEP";#N/A,#N/A,TRUE,"BALANCE SHEET";#N/A,#N/A,TRUE,"STAFF REQ.";#N/A,#N/A,TRUE,"GEN. O.H";#N/A,#N/A,TRUE,"B.S SCHEDULES"}</definedName>
    <definedName name="wrn.E.T._.Dxb._.Financial._.Plan._.Version._.1.0." localSheetId="2" hidden="1">{#N/A,#N/A,TRUE,"INC.STATE(98)";#N/A,#N/A,TRUE,"SALES";#N/A,#N/A,TRUE,"COS";#N/A,#N/A,TRUE,"CASH FLOW";#N/A,#N/A,TRUE,"BEP";#N/A,#N/A,TRUE,"BALANCE SHEET";#N/A,#N/A,TRUE,"STAFF REQ.";#N/A,#N/A,TRUE,"GEN. O.H";#N/A,#N/A,TRUE,"B.S SCHEDULES"}</definedName>
    <definedName name="wrn.E.T._.Dxb._.Financial._.Plan._.Version._.1.0." localSheetId="11" hidden="1">{#N/A,#N/A,TRUE,"INC.STATE(98)";#N/A,#N/A,TRUE,"SALES";#N/A,#N/A,TRUE,"COS";#N/A,#N/A,TRUE,"CASH FLOW";#N/A,#N/A,TRUE,"BEP";#N/A,#N/A,TRUE,"BALANCE SHEET";#N/A,#N/A,TRUE,"STAFF REQ.";#N/A,#N/A,TRUE,"GEN. O.H";#N/A,#N/A,TRUE,"B.S SCHEDULES"}</definedName>
    <definedName name="wrn.E.T._.Dxb._.Financial._.Plan._.Version._.1.0." hidden="1">{#N/A,#N/A,TRUE,"INC.STATE(98)";#N/A,#N/A,TRUE,"SALES";#N/A,#N/A,TRUE,"COS";#N/A,#N/A,TRUE,"CASH FLOW";#N/A,#N/A,TRUE,"BEP";#N/A,#N/A,TRUE,"BALANCE SHEET";#N/A,#N/A,TRUE,"STAFF REQ.";#N/A,#N/A,TRUE,"GEN. O.H";#N/A,#N/A,TRUE,"B.S SCHEDULES"}</definedName>
    <definedName name="wrn.E.T.Dubai._.Budget._.99." localSheetId="4" hidden="1">{#N/A,#N/A,TRUE,"KEY INDICATORS";#N/A,#N/A,TRUE,"INC.STATE";#N/A,#N/A,TRUE,"Monthly P &amp; L";#N/A,#N/A,TRUE,"CASH FLOW";#N/A,#N/A,TRUE,"STAFF REQ.";#N/A,#N/A,TRUE,"SALES";#N/A,#N/A,TRUE,"COS";#N/A,#N/A,TRUE,"GEN. O.H";#N/A,#N/A,TRUE,"BALANCE SHEET";#N/A,#N/A,TRUE,"B.S SCHEDULES"}</definedName>
    <definedName name="wrn.E.T.Dubai._.Budget._.99." localSheetId="2" hidden="1">{#N/A,#N/A,TRUE,"KEY INDICATORS";#N/A,#N/A,TRUE,"INC.STATE";#N/A,#N/A,TRUE,"Monthly P &amp; L";#N/A,#N/A,TRUE,"CASH FLOW";#N/A,#N/A,TRUE,"STAFF REQ.";#N/A,#N/A,TRUE,"SALES";#N/A,#N/A,TRUE,"COS";#N/A,#N/A,TRUE,"GEN. O.H";#N/A,#N/A,TRUE,"BALANCE SHEET";#N/A,#N/A,TRUE,"B.S SCHEDULES"}</definedName>
    <definedName name="wrn.E.T.Dubai._.Budget._.99." localSheetId="11" hidden="1">{#N/A,#N/A,TRUE,"KEY INDICATORS";#N/A,#N/A,TRUE,"INC.STATE";#N/A,#N/A,TRUE,"Monthly P &amp; L";#N/A,#N/A,TRUE,"CASH FLOW";#N/A,#N/A,TRUE,"STAFF REQ.";#N/A,#N/A,TRUE,"SALES";#N/A,#N/A,TRUE,"COS";#N/A,#N/A,TRUE,"GEN. O.H";#N/A,#N/A,TRUE,"BALANCE SHEET";#N/A,#N/A,TRUE,"B.S SCHEDULES"}</definedName>
    <definedName name="wrn.E.T.Dubai._.Budget._.99." hidden="1">{#N/A,#N/A,TRUE,"KEY INDICATORS";#N/A,#N/A,TRUE,"INC.STATE";#N/A,#N/A,TRUE,"Monthly P &amp; L";#N/A,#N/A,TRUE,"CASH FLOW";#N/A,#N/A,TRUE,"STAFF REQ.";#N/A,#N/A,TRUE,"SALES";#N/A,#N/A,TRUE,"COS";#N/A,#N/A,TRUE,"GEN. O.H";#N/A,#N/A,TRUE,"BALANCE SHEET";#N/A,#N/A,TRUE,"B.S SCHEDULES"}</definedName>
    <definedName name="wrn.E.T.Dxb._.Financial._.Plan._.1999." localSheetId="4" hidden="1">{#N/A,#N/A,TRUE,"INC.STATE";#N/A,#N/A,TRUE,"CASH FLOW";#N/A,#N/A,TRUE,"SALES";#N/A,#N/A,TRUE,"COS";#N/A,#N/A,TRUE,"BEP";#N/A,#N/A,TRUE,"CAPEX";#N/A,#N/A,TRUE,"GEN. O.H";#N/A,#N/A,TRUE,"BALANCE SHEET";#N/A,#N/A,TRUE,"STAFF REQ.";#N/A,#N/A,TRUE,"B.S SCHEDULES"}</definedName>
    <definedName name="wrn.E.T.Dxb._.Financial._.Plan._.1999." localSheetId="2" hidden="1">{#N/A,#N/A,TRUE,"INC.STATE";#N/A,#N/A,TRUE,"CASH FLOW";#N/A,#N/A,TRUE,"SALES";#N/A,#N/A,TRUE,"COS";#N/A,#N/A,TRUE,"BEP";#N/A,#N/A,TRUE,"CAPEX";#N/A,#N/A,TRUE,"GEN. O.H";#N/A,#N/A,TRUE,"BALANCE SHEET";#N/A,#N/A,TRUE,"STAFF REQ.";#N/A,#N/A,TRUE,"B.S SCHEDULES"}</definedName>
    <definedName name="wrn.E.T.Dxb._.Financial._.Plan._.1999." localSheetId="11" hidden="1">{#N/A,#N/A,TRUE,"INC.STATE";#N/A,#N/A,TRUE,"CASH FLOW";#N/A,#N/A,TRUE,"SALES";#N/A,#N/A,TRUE,"COS";#N/A,#N/A,TRUE,"BEP";#N/A,#N/A,TRUE,"CAPEX";#N/A,#N/A,TRUE,"GEN. O.H";#N/A,#N/A,TRUE,"BALANCE SHEET";#N/A,#N/A,TRUE,"STAFF REQ.";#N/A,#N/A,TRUE,"B.S SCHEDULES"}</definedName>
    <definedName name="wrn.E.T.Dxb._.Financial._.Plan._.1999." hidden="1">{#N/A,#N/A,TRUE,"INC.STATE";#N/A,#N/A,TRUE,"CASH FLOW";#N/A,#N/A,TRUE,"SALES";#N/A,#N/A,TRUE,"COS";#N/A,#N/A,TRUE,"BEP";#N/A,#N/A,TRUE,"CAPEX";#N/A,#N/A,TRUE,"GEN. O.H";#N/A,#N/A,TRUE,"BALANCE SHEET";#N/A,#N/A,TRUE,"STAFF REQ.";#N/A,#N/A,TRUE,"B.S SCHEDULES"}</definedName>
    <definedName name="wrn.HO._.REPORTS." localSheetId="4" hidden="1">{#N/A,#N/A,TRUE,"INCOME STATE.";#N/A,#N/A,TRUE,"I.S SCHEDULES";#N/A,#N/A,TRUE,"BALANCE SHEET";#N/A,#N/A,TRUE,"B.S SCHEDULES";#N/A,#N/A,TRUE,"CASH FLOW"}</definedName>
    <definedName name="wrn.HO._.REPORTS." localSheetId="14" hidden="1">{#N/A,#N/A,TRUE,"INCOME STATE.";#N/A,#N/A,TRUE,"I.S SCHEDULES";#N/A,#N/A,TRUE,"BALANCE SHEET";#N/A,#N/A,TRUE,"B.S SCHEDULES";#N/A,#N/A,TRUE,"CASH FLOW"}</definedName>
    <definedName name="wrn.HO._.REPORTS." localSheetId="2" hidden="1">{#N/A,#N/A,TRUE,"INCOME STATE.";#N/A,#N/A,TRUE,"I.S SCHEDULES";#N/A,#N/A,TRUE,"BALANCE SHEET";#N/A,#N/A,TRUE,"B.S SCHEDULES";#N/A,#N/A,TRUE,"CASH FLOW"}</definedName>
    <definedName name="wrn.HO._.REPORTS." localSheetId="11" hidden="1">{#N/A,#N/A,TRUE,"INCOME STATE.";#N/A,#N/A,TRUE,"I.S SCHEDULES";#N/A,#N/A,TRUE,"BALANCE SHEET";#N/A,#N/A,TRUE,"B.S SCHEDULES";#N/A,#N/A,TRUE,"CASH FLOW"}</definedName>
  </definedNames>
  <calcPr calcId="124519" fullCalcOnLoad="1"/>
</workbook>
</file>

<file path=xl/calcChain.xml><?xml version="1.0" encoding="utf-8"?>
<calcChain xmlns="http://schemas.openxmlformats.org/spreadsheetml/2006/main">
  <c r="B3" i="11"/>
  <c r="D9"/>
  <c r="D16"/>
  <c r="D18"/>
  <c r="D21"/>
  <c r="D27"/>
  <c r="B32"/>
  <c r="D34"/>
  <c r="B37"/>
  <c r="D41"/>
  <c r="B15" i="15"/>
  <c r="B4" i="11" s="1"/>
  <c r="B18" i="15"/>
  <c r="B21"/>
  <c r="B35"/>
  <c r="C43"/>
  <c r="H43"/>
  <c r="I43"/>
  <c r="D44"/>
  <c r="C46"/>
  <c r="B53"/>
  <c r="F57"/>
  <c r="I57"/>
  <c r="D60"/>
  <c r="E60"/>
  <c r="F60"/>
  <c r="G60"/>
  <c r="H60"/>
  <c r="B65"/>
  <c r="B68"/>
  <c r="G73"/>
  <c r="E75"/>
  <c r="F76"/>
  <c r="C82"/>
  <c r="D82"/>
  <c r="B85"/>
  <c r="D86"/>
  <c r="B89"/>
  <c r="B90"/>
  <c r="B92"/>
  <c r="B93"/>
  <c r="C93"/>
  <c r="D93"/>
  <c r="B94"/>
  <c r="B102"/>
  <c r="B22" i="11" s="1"/>
  <c r="D111" i="15"/>
  <c r="S8" i="7"/>
  <c r="D9"/>
  <c r="E9"/>
  <c r="S9"/>
  <c r="D10"/>
  <c r="E10"/>
  <c r="S10"/>
  <c r="D11"/>
  <c r="E11"/>
  <c r="H11"/>
  <c r="S11"/>
  <c r="D12"/>
  <c r="E12"/>
  <c r="S12"/>
  <c r="D13"/>
  <c r="E13"/>
  <c r="G13"/>
  <c r="S13"/>
  <c r="D14"/>
  <c r="E14"/>
  <c r="S14"/>
  <c r="D15"/>
  <c r="E15"/>
  <c r="S15"/>
  <c r="D16"/>
  <c r="E16"/>
  <c r="H16"/>
  <c r="S16"/>
  <c r="D17"/>
  <c r="E17"/>
  <c r="F17"/>
  <c r="G17"/>
  <c r="H17"/>
  <c r="S17"/>
  <c r="T17"/>
  <c r="C31"/>
  <c r="C32"/>
  <c r="D32"/>
  <c r="E32"/>
  <c r="C33"/>
  <c r="D33"/>
  <c r="E33"/>
  <c r="C34"/>
  <c r="D34"/>
  <c r="E34"/>
  <c r="E35"/>
  <c r="E36"/>
  <c r="D41"/>
  <c r="E41"/>
  <c r="E42"/>
  <c r="D43"/>
  <c r="E43"/>
  <c r="C47"/>
  <c r="D47"/>
  <c r="E47"/>
  <c r="F47"/>
  <c r="T47"/>
  <c r="O4" i="10"/>
  <c r="O6"/>
  <c r="O9"/>
  <c r="O10"/>
  <c r="O14"/>
  <c r="O17"/>
  <c r="O19"/>
  <c r="B9" i="5"/>
  <c r="B16"/>
  <c r="B23"/>
  <c r="B29"/>
  <c r="B36"/>
  <c r="B42"/>
  <c r="B53"/>
  <c r="B61"/>
  <c r="B68"/>
  <c r="B75"/>
  <c r="O77"/>
  <c r="B80"/>
  <c r="C8" i="14"/>
  <c r="D8"/>
  <c r="E8"/>
  <c r="F8"/>
  <c r="G8"/>
  <c r="H8"/>
  <c r="I8"/>
  <c r="J8"/>
  <c r="K8"/>
  <c r="L8"/>
  <c r="M8"/>
  <c r="N8"/>
  <c r="O8"/>
  <c r="B75" i="15" s="1"/>
  <c r="O10" i="14"/>
  <c r="C12"/>
  <c r="D12"/>
  <c r="E12"/>
  <c r="F12"/>
  <c r="G12"/>
  <c r="H12"/>
  <c r="I12"/>
  <c r="J12"/>
  <c r="K12"/>
  <c r="L12"/>
  <c r="M12"/>
  <c r="N12"/>
  <c r="O12"/>
  <c r="C14"/>
  <c r="F14"/>
  <c r="O14"/>
  <c r="G44" i="15" s="1"/>
  <c r="O17" i="14"/>
  <c r="O19"/>
  <c r="O21"/>
  <c r="B44" i="15" s="1"/>
  <c r="O35" i="14"/>
  <c r="O37"/>
  <c r="H44" i="15" s="1"/>
  <c r="C39" i="14"/>
  <c r="D39"/>
  <c r="E39"/>
  <c r="F39"/>
  <c r="G39"/>
  <c r="H39"/>
  <c r="I39"/>
  <c r="J39"/>
  <c r="K39"/>
  <c r="L39"/>
  <c r="M39"/>
  <c r="N39"/>
  <c r="O39"/>
  <c r="O49"/>
  <c r="C59" i="15" s="1"/>
  <c r="O56" i="14"/>
  <c r="E44" i="15" s="1"/>
  <c r="O57" i="14"/>
  <c r="O58"/>
  <c r="C59"/>
  <c r="D59"/>
  <c r="E59"/>
  <c r="F59"/>
  <c r="G59"/>
  <c r="H59"/>
  <c r="I59"/>
  <c r="J59"/>
  <c r="K59"/>
  <c r="L59"/>
  <c r="M59"/>
  <c r="N59"/>
  <c r="O59"/>
  <c r="P59"/>
  <c r="E62"/>
  <c r="F62"/>
  <c r="H62"/>
  <c r="I62"/>
  <c r="L62"/>
  <c r="E63"/>
  <c r="F63"/>
  <c r="J63"/>
  <c r="M63"/>
  <c r="L64"/>
  <c r="M64"/>
  <c r="C67"/>
  <c r="C72"/>
  <c r="D72"/>
  <c r="E72"/>
  <c r="G72"/>
  <c r="K72"/>
  <c r="L72"/>
  <c r="N72"/>
  <c r="O148"/>
  <c r="D149"/>
  <c r="E149"/>
  <c r="O149"/>
  <c r="E150"/>
  <c r="F150"/>
  <c r="O150"/>
  <c r="F151"/>
  <c r="G151"/>
  <c r="O151"/>
  <c r="G152"/>
  <c r="H152"/>
  <c r="O152"/>
  <c r="H153"/>
  <c r="I153"/>
  <c r="O153"/>
  <c r="I154"/>
  <c r="J154"/>
  <c r="O154"/>
  <c r="J155"/>
  <c r="K155"/>
  <c r="O155"/>
  <c r="K156"/>
  <c r="L156"/>
  <c r="O156"/>
  <c r="L157"/>
  <c r="M157"/>
  <c r="O157"/>
  <c r="M158"/>
  <c r="N158"/>
  <c r="O158"/>
  <c r="N159"/>
  <c r="O159"/>
  <c r="O160"/>
  <c r="C162"/>
  <c r="D162"/>
  <c r="E162"/>
  <c r="F162"/>
  <c r="G162"/>
  <c r="H162"/>
  <c r="I162"/>
  <c r="J162"/>
  <c r="K162"/>
  <c r="L162"/>
  <c r="M162"/>
  <c r="N162"/>
  <c r="O162"/>
  <c r="P162"/>
  <c r="K165"/>
  <c r="O165"/>
  <c r="D166"/>
  <c r="E166"/>
  <c r="F166"/>
  <c r="G166"/>
  <c r="H166"/>
  <c r="I166"/>
  <c r="J166"/>
  <c r="K166"/>
  <c r="L166"/>
  <c r="M166"/>
  <c r="N166"/>
  <c r="O166"/>
  <c r="E167"/>
  <c r="F167"/>
  <c r="G167"/>
  <c r="H167"/>
  <c r="I167"/>
  <c r="J167"/>
  <c r="K167"/>
  <c r="L167"/>
  <c r="M167"/>
  <c r="N167"/>
  <c r="D168"/>
  <c r="E168"/>
  <c r="F168"/>
  <c r="G168"/>
  <c r="H168"/>
  <c r="I168"/>
  <c r="J168"/>
  <c r="K168"/>
  <c r="L168"/>
  <c r="M168"/>
  <c r="N168"/>
  <c r="O168"/>
  <c r="O169"/>
  <c r="C171"/>
  <c r="C15" i="10" s="1"/>
  <c r="E171" i="14"/>
  <c r="E15" i="10" s="1"/>
  <c r="F171" i="14"/>
  <c r="F15" i="10" s="1"/>
  <c r="G171" i="14"/>
  <c r="G15" i="10" s="1"/>
  <c r="H171" i="14"/>
  <c r="H15" i="10" s="1"/>
  <c r="I171" i="14"/>
  <c r="I15" i="10" s="1"/>
  <c r="J171" i="14"/>
  <c r="J15" i="10" s="1"/>
  <c r="K171" i="14"/>
  <c r="K15" i="10" s="1"/>
  <c r="L171" i="14"/>
  <c r="L15" i="10" s="1"/>
  <c r="M171" i="14"/>
  <c r="M15" i="10" s="1"/>
  <c r="N171" i="14"/>
  <c r="N15" i="10" s="1"/>
  <c r="E172" i="14"/>
  <c r="F172"/>
  <c r="G172"/>
  <c r="H172"/>
  <c r="I172"/>
  <c r="J172"/>
  <c r="K172"/>
  <c r="L172"/>
  <c r="M172"/>
  <c r="N172"/>
  <c r="O180"/>
  <c r="O183"/>
  <c r="O184"/>
  <c r="C188"/>
  <c r="C7" i="10" s="1"/>
  <c r="D188" i="14"/>
  <c r="D7" i="10" s="1"/>
  <c r="E188" i="14"/>
  <c r="E7" i="10" s="1"/>
  <c r="F188" i="14"/>
  <c r="F7" i="10" s="1"/>
  <c r="G188" i="14"/>
  <c r="G7" i="10" s="1"/>
  <c r="H188" i="14"/>
  <c r="H7" i="10" s="1"/>
  <c r="I188" i="14"/>
  <c r="I7" i="10" s="1"/>
  <c r="J188" i="14"/>
  <c r="J7" i="10" s="1"/>
  <c r="K188" i="14"/>
  <c r="K7" i="10" s="1"/>
  <c r="L188" i="14"/>
  <c r="L7" i="10" s="1"/>
  <c r="M188" i="14"/>
  <c r="M7" i="10" s="1"/>
  <c r="N188" i="14"/>
  <c r="N7" i="10" s="1"/>
  <c r="O188" i="14"/>
  <c r="P188"/>
  <c r="D191"/>
  <c r="O191"/>
  <c r="D193"/>
  <c r="E193"/>
  <c r="O193"/>
  <c r="E194"/>
  <c r="F194"/>
  <c r="I194"/>
  <c r="O194"/>
  <c r="F195"/>
  <c r="G195"/>
  <c r="O195"/>
  <c r="G196"/>
  <c r="H196"/>
  <c r="O196"/>
  <c r="H197"/>
  <c r="I197"/>
  <c r="O197"/>
  <c r="I198"/>
  <c r="J198"/>
  <c r="O198"/>
  <c r="J199"/>
  <c r="K199"/>
  <c r="O199"/>
  <c r="K200"/>
  <c r="L200"/>
  <c r="O200"/>
  <c r="L201"/>
  <c r="M201"/>
  <c r="O201"/>
  <c r="M202"/>
  <c r="N202"/>
  <c r="O202"/>
  <c r="N203"/>
  <c r="O203"/>
  <c r="C205"/>
  <c r="F205"/>
  <c r="G205"/>
  <c r="H205"/>
  <c r="I205"/>
  <c r="J205"/>
  <c r="K205"/>
  <c r="L205"/>
  <c r="M205"/>
  <c r="N205"/>
  <c r="C210"/>
  <c r="D210"/>
  <c r="E210"/>
  <c r="F210"/>
  <c r="G210"/>
  <c r="H210"/>
  <c r="I210"/>
  <c r="J210"/>
  <c r="K210"/>
  <c r="L210"/>
  <c r="M210"/>
  <c r="N210"/>
  <c r="O210"/>
  <c r="P210"/>
  <c r="O212"/>
  <c r="O213"/>
  <c r="C226"/>
  <c r="C234"/>
  <c r="D234"/>
  <c r="E234"/>
  <c r="F234"/>
  <c r="G234"/>
  <c r="H234"/>
  <c r="I234"/>
  <c r="J234"/>
  <c r="K234"/>
  <c r="L234"/>
  <c r="M234"/>
  <c r="N234"/>
  <c r="O234"/>
  <c r="P234"/>
  <c r="C237"/>
  <c r="C8" i="10" s="1"/>
  <c r="F237" i="14"/>
  <c r="F8" i="10" s="1"/>
  <c r="G237" i="14"/>
  <c r="G8" i="10" s="1"/>
  <c r="H237" i="14"/>
  <c r="H8" i="10" s="1"/>
  <c r="I237" i="14"/>
  <c r="I8" i="10" s="1"/>
  <c r="J237" i="14"/>
  <c r="J8" i="10" s="1"/>
  <c r="K237" i="14"/>
  <c r="K8" i="10" s="1"/>
  <c r="L237" i="14"/>
  <c r="L8" i="10" s="1"/>
  <c r="M237" i="14"/>
  <c r="M8" i="10" s="1"/>
  <c r="N237" i="14"/>
  <c r="N8" i="10" s="1"/>
  <c r="Q6" i="3"/>
  <c r="N7" i="14" s="1"/>
  <c r="R7" i="3"/>
  <c r="B74" i="15" s="1"/>
  <c r="D10" i="3"/>
  <c r="E10"/>
  <c r="F10"/>
  <c r="C11" i="14" s="1"/>
  <c r="G10" i="3"/>
  <c r="D11" i="14" s="1"/>
  <c r="H10" i="3"/>
  <c r="E11" i="14" s="1"/>
  <c r="I10" i="3"/>
  <c r="F11" i="14" s="1"/>
  <c r="J10" i="3"/>
  <c r="G11" i="14" s="1"/>
  <c r="K10" i="3"/>
  <c r="H11" i="14" s="1"/>
  <c r="L10" i="3"/>
  <c r="I11" i="14" s="1"/>
  <c r="M10" i="3"/>
  <c r="J11" i="14" s="1"/>
  <c r="N10" i="3"/>
  <c r="K11" i="14" s="1"/>
  <c r="O10" i="3"/>
  <c r="L11" i="14" s="1"/>
  <c r="P10" i="3"/>
  <c r="M11" i="14" s="1"/>
  <c r="Q10" i="3"/>
  <c r="N11" i="14" s="1"/>
  <c r="R10" i="3"/>
  <c r="E11"/>
  <c r="R11"/>
  <c r="D12"/>
  <c r="E12"/>
  <c r="F12"/>
  <c r="C13" i="14" s="1"/>
  <c r="G12" i="3"/>
  <c r="D13" i="14" s="1"/>
  <c r="H12" i="3"/>
  <c r="E13" i="14" s="1"/>
  <c r="I12" i="3"/>
  <c r="F13" i="14" s="1"/>
  <c r="J12" i="3"/>
  <c r="G13" i="14" s="1"/>
  <c r="K12" i="3"/>
  <c r="H13" i="14" s="1"/>
  <c r="L12" i="3"/>
  <c r="I13" i="14" s="1"/>
  <c r="M12" i="3"/>
  <c r="J13" i="14" s="1"/>
  <c r="N12" i="3"/>
  <c r="K13" i="14" s="1"/>
  <c r="O12" i="3"/>
  <c r="L13" i="14" s="1"/>
  <c r="P12" i="3"/>
  <c r="M13" i="14" s="1"/>
  <c r="Q12" i="3"/>
  <c r="N13" i="14" s="1"/>
  <c r="R12" i="3"/>
  <c r="D13"/>
  <c r="E13"/>
  <c r="F13"/>
  <c r="G13"/>
  <c r="H13"/>
  <c r="I13"/>
  <c r="J13"/>
  <c r="K13"/>
  <c r="L13"/>
  <c r="M13"/>
  <c r="N13"/>
  <c r="O13"/>
  <c r="P13"/>
  <c r="Q13"/>
  <c r="R13"/>
  <c r="G45" i="15" s="1"/>
  <c r="D14" i="3"/>
  <c r="E14"/>
  <c r="D15"/>
  <c r="E15"/>
  <c r="R16"/>
  <c r="V18"/>
  <c r="W18"/>
  <c r="X18"/>
  <c r="Y18"/>
  <c r="Z18"/>
  <c r="AA18"/>
  <c r="AB18"/>
  <c r="AC18"/>
  <c r="R19"/>
  <c r="D21"/>
  <c r="F21"/>
  <c r="G21"/>
  <c r="H21"/>
  <c r="I21"/>
  <c r="J21"/>
  <c r="K21"/>
  <c r="L21"/>
  <c r="M21"/>
  <c r="N21"/>
  <c r="O21"/>
  <c r="P21"/>
  <c r="Q21"/>
  <c r="R21"/>
  <c r="B45" i="15" s="1"/>
  <c r="D22" i="3"/>
  <c r="E22"/>
  <c r="F22"/>
  <c r="C22" i="14" s="1"/>
  <c r="G22" i="3"/>
  <c r="D22" i="14" s="1"/>
  <c r="H22" i="3"/>
  <c r="E22" i="14" s="1"/>
  <c r="I22" i="3"/>
  <c r="F22" i="14" s="1"/>
  <c r="J22" i="3"/>
  <c r="G22" i="14" s="1"/>
  <c r="K22" i="3"/>
  <c r="H22" i="14" s="1"/>
  <c r="L22" i="3"/>
  <c r="I22" i="14" s="1"/>
  <c r="M22" i="3"/>
  <c r="J22" i="14" s="1"/>
  <c r="N22" i="3"/>
  <c r="K22" i="14" s="1"/>
  <c r="O22" i="3"/>
  <c r="L22" i="14" s="1"/>
  <c r="P22" i="3"/>
  <c r="M22" i="14" s="1"/>
  <c r="Q22" i="3"/>
  <c r="N22" i="14" s="1"/>
  <c r="R22" i="3"/>
  <c r="D23"/>
  <c r="E23"/>
  <c r="F23"/>
  <c r="C23" i="14" s="1"/>
  <c r="G23" i="3"/>
  <c r="D23" i="14" s="1"/>
  <c r="H23" i="3"/>
  <c r="E23" i="14" s="1"/>
  <c r="I23" i="3"/>
  <c r="F23" i="14" s="1"/>
  <c r="J23" i="3"/>
  <c r="G23" i="14" s="1"/>
  <c r="K23" i="3"/>
  <c r="H23" i="14" s="1"/>
  <c r="L23" i="3"/>
  <c r="I23" i="14" s="1"/>
  <c r="M23" i="3"/>
  <c r="J23" i="14" s="1"/>
  <c r="N23" i="3"/>
  <c r="K23" i="14" s="1"/>
  <c r="O23" i="3"/>
  <c r="L23" i="14" s="1"/>
  <c r="P23" i="3"/>
  <c r="M23" i="14" s="1"/>
  <c r="Q23" i="3"/>
  <c r="N23" i="14" s="1"/>
  <c r="R23" i="3"/>
  <c r="D24"/>
  <c r="E24"/>
  <c r="F24"/>
  <c r="C24" i="14" s="1"/>
  <c r="G24" i="3"/>
  <c r="D24" i="14" s="1"/>
  <c r="H24" i="3"/>
  <c r="E24" i="14" s="1"/>
  <c r="I24" i="3"/>
  <c r="F24" i="14" s="1"/>
  <c r="J24" i="3"/>
  <c r="G24" i="14" s="1"/>
  <c r="K24" i="3"/>
  <c r="H24" i="14" s="1"/>
  <c r="L24" i="3"/>
  <c r="I24" i="14" s="1"/>
  <c r="M24" i="3"/>
  <c r="J24" i="14" s="1"/>
  <c r="N24" i="3"/>
  <c r="K24" i="14" s="1"/>
  <c r="O24" i="3"/>
  <c r="L24" i="14" s="1"/>
  <c r="P24" i="3"/>
  <c r="M24" i="14" s="1"/>
  <c r="Q24" i="3"/>
  <c r="N24" i="14" s="1"/>
  <c r="R24" i="3"/>
  <c r="D25"/>
  <c r="E25"/>
  <c r="F25"/>
  <c r="C25" i="14" s="1"/>
  <c r="G25" i="3"/>
  <c r="D25" i="14" s="1"/>
  <c r="H25" i="3"/>
  <c r="E25" i="14" s="1"/>
  <c r="I25" i="3"/>
  <c r="F25" i="14" s="1"/>
  <c r="J25" i="3"/>
  <c r="G25" i="14" s="1"/>
  <c r="K25" i="3"/>
  <c r="H25" i="14" s="1"/>
  <c r="L25" i="3"/>
  <c r="I25" i="14" s="1"/>
  <c r="M25" i="3"/>
  <c r="J25" i="14" s="1"/>
  <c r="N25" i="3"/>
  <c r="K25" i="14" s="1"/>
  <c r="O25" i="3"/>
  <c r="L25" i="14" s="1"/>
  <c r="P25" i="3"/>
  <c r="M25" i="14" s="1"/>
  <c r="Q25" i="3"/>
  <c r="N25" i="14" s="1"/>
  <c r="R25" i="3"/>
  <c r="D26"/>
  <c r="E26"/>
  <c r="F26"/>
  <c r="C26" i="14" s="1"/>
  <c r="G26" i="3"/>
  <c r="D26" i="14" s="1"/>
  <c r="H26" i="3"/>
  <c r="E26" i="14" s="1"/>
  <c r="I26" i="3"/>
  <c r="F26" i="14" s="1"/>
  <c r="J26" i="3"/>
  <c r="G26" i="14" s="1"/>
  <c r="K26" i="3"/>
  <c r="H26" i="14" s="1"/>
  <c r="L26" i="3"/>
  <c r="I26" i="14" s="1"/>
  <c r="M26" i="3"/>
  <c r="J26" i="14" s="1"/>
  <c r="N26" i="3"/>
  <c r="K26" i="14" s="1"/>
  <c r="O26" i="3"/>
  <c r="L26" i="14" s="1"/>
  <c r="P26" i="3"/>
  <c r="M26" i="14" s="1"/>
  <c r="Q26" i="3"/>
  <c r="N26" i="14" s="1"/>
  <c r="R26" i="3"/>
  <c r="D27"/>
  <c r="E27"/>
  <c r="F27"/>
  <c r="C27" i="14" s="1"/>
  <c r="G27" i="3"/>
  <c r="D27" i="14" s="1"/>
  <c r="H27" i="3"/>
  <c r="E27" i="14" s="1"/>
  <c r="I27" i="3"/>
  <c r="F27" i="14" s="1"/>
  <c r="J27" i="3"/>
  <c r="G27" i="14" s="1"/>
  <c r="K27" i="3"/>
  <c r="H27" i="14" s="1"/>
  <c r="L27" i="3"/>
  <c r="I27" i="14" s="1"/>
  <c r="M27" i="3"/>
  <c r="J27" i="14" s="1"/>
  <c r="N27" i="3"/>
  <c r="K27" i="14" s="1"/>
  <c r="O27" i="3"/>
  <c r="L27" i="14" s="1"/>
  <c r="P27" i="3"/>
  <c r="M27" i="14" s="1"/>
  <c r="Q27" i="3"/>
  <c r="N27" i="14" s="1"/>
  <c r="R27" i="3"/>
  <c r="D28"/>
  <c r="E28"/>
  <c r="F28"/>
  <c r="C28" i="14" s="1"/>
  <c r="G28" i="3"/>
  <c r="D28" i="14" s="1"/>
  <c r="H28" i="3"/>
  <c r="E28" i="14" s="1"/>
  <c r="I28" i="3"/>
  <c r="F28" i="14" s="1"/>
  <c r="J28" i="3"/>
  <c r="G28" i="14" s="1"/>
  <c r="K28" i="3"/>
  <c r="H28" i="14" s="1"/>
  <c r="L28" i="3"/>
  <c r="I28" i="14" s="1"/>
  <c r="M28" i="3"/>
  <c r="J28" i="14" s="1"/>
  <c r="N28" i="3"/>
  <c r="K28" i="14" s="1"/>
  <c r="O28" i="3"/>
  <c r="L28" i="14" s="1"/>
  <c r="P28" i="3"/>
  <c r="M28" i="14" s="1"/>
  <c r="Q28" i="3"/>
  <c r="N28" i="14" s="1"/>
  <c r="R28" i="3"/>
  <c r="D29"/>
  <c r="E29"/>
  <c r="F29"/>
  <c r="C29" i="14" s="1"/>
  <c r="G29" i="3"/>
  <c r="D29" i="14" s="1"/>
  <c r="H29" i="3"/>
  <c r="E29" i="14" s="1"/>
  <c r="I29" i="3"/>
  <c r="F29" i="14" s="1"/>
  <c r="J29" i="3"/>
  <c r="G29" i="14" s="1"/>
  <c r="K29" i="3"/>
  <c r="H29" i="14" s="1"/>
  <c r="L29" i="3"/>
  <c r="I29" i="14" s="1"/>
  <c r="M29" i="3"/>
  <c r="J29" i="14" s="1"/>
  <c r="N29" i="3"/>
  <c r="K29" i="14" s="1"/>
  <c r="O29" i="3"/>
  <c r="L29" i="14" s="1"/>
  <c r="P29" i="3"/>
  <c r="M29" i="14" s="1"/>
  <c r="Q29" i="3"/>
  <c r="N29" i="14" s="1"/>
  <c r="R29" i="3"/>
  <c r="D30"/>
  <c r="E30"/>
  <c r="F30"/>
  <c r="C30" i="14" s="1"/>
  <c r="G30" i="3"/>
  <c r="D30" i="14" s="1"/>
  <c r="H30" i="3"/>
  <c r="E30" i="14" s="1"/>
  <c r="I30" i="3"/>
  <c r="F30" i="14" s="1"/>
  <c r="J30" i="3"/>
  <c r="G30" i="14" s="1"/>
  <c r="K30" i="3"/>
  <c r="H30" i="14" s="1"/>
  <c r="L30" i="3"/>
  <c r="I30" i="14" s="1"/>
  <c r="M30" i="3"/>
  <c r="J30" i="14" s="1"/>
  <c r="N30" i="3"/>
  <c r="K30" i="14" s="1"/>
  <c r="O30" i="3"/>
  <c r="L30" i="14" s="1"/>
  <c r="P30" i="3"/>
  <c r="M30" i="14" s="1"/>
  <c r="Q30" i="3"/>
  <c r="N30" i="14" s="1"/>
  <c r="R30" i="3"/>
  <c r="D31"/>
  <c r="E31"/>
  <c r="F31"/>
  <c r="C31" i="14" s="1"/>
  <c r="G31" i="3"/>
  <c r="D31" i="14" s="1"/>
  <c r="H31" i="3"/>
  <c r="E31" i="14" s="1"/>
  <c r="I31" i="3"/>
  <c r="F31" i="14" s="1"/>
  <c r="J31" i="3"/>
  <c r="G31" i="14" s="1"/>
  <c r="K31" i="3"/>
  <c r="H31" i="14" s="1"/>
  <c r="L31" i="3"/>
  <c r="I31" i="14" s="1"/>
  <c r="M31" i="3"/>
  <c r="J31" i="14" s="1"/>
  <c r="N31" i="3"/>
  <c r="K31" i="14" s="1"/>
  <c r="O31" i="3"/>
  <c r="L31" i="14" s="1"/>
  <c r="P31" i="3"/>
  <c r="M31" i="14" s="1"/>
  <c r="Q31" i="3"/>
  <c r="N31" i="14" s="1"/>
  <c r="R31" i="3"/>
  <c r="D32"/>
  <c r="E32"/>
  <c r="F32"/>
  <c r="C32" i="14" s="1"/>
  <c r="G32" i="3"/>
  <c r="D32" i="14" s="1"/>
  <c r="H32" i="3"/>
  <c r="E32" i="14" s="1"/>
  <c r="I32" i="3"/>
  <c r="F32" i="14" s="1"/>
  <c r="J32" i="3"/>
  <c r="G32" i="14" s="1"/>
  <c r="K32" i="3"/>
  <c r="H32" i="14" s="1"/>
  <c r="L32" i="3"/>
  <c r="I32" i="14" s="1"/>
  <c r="M32" i="3"/>
  <c r="J32" i="14" s="1"/>
  <c r="N32" i="3"/>
  <c r="K32" i="14" s="1"/>
  <c r="O32" i="3"/>
  <c r="L32" i="14" s="1"/>
  <c r="P32" i="3"/>
  <c r="M32" i="14" s="1"/>
  <c r="Q32" i="3"/>
  <c r="N32" i="14" s="1"/>
  <c r="R32" i="3"/>
  <c r="D33"/>
  <c r="E33"/>
  <c r="F33"/>
  <c r="C33" i="14" s="1"/>
  <c r="G33" i="3"/>
  <c r="D33" i="14" s="1"/>
  <c r="H33" i="3"/>
  <c r="E33" i="14" s="1"/>
  <c r="I33" i="3"/>
  <c r="F33" i="14" s="1"/>
  <c r="J33" i="3"/>
  <c r="G33" i="14" s="1"/>
  <c r="K33" i="3"/>
  <c r="H33" i="14" s="1"/>
  <c r="L33" i="3"/>
  <c r="I33" i="14" s="1"/>
  <c r="M33" i="3"/>
  <c r="J33" i="14" s="1"/>
  <c r="N33" i="3"/>
  <c r="K33" i="14" s="1"/>
  <c r="O33" i="3"/>
  <c r="L33" i="14" s="1"/>
  <c r="P33" i="3"/>
  <c r="M33" i="14" s="1"/>
  <c r="Q33" i="3"/>
  <c r="N33" i="14" s="1"/>
  <c r="R33" i="3"/>
  <c r="D34"/>
  <c r="E34"/>
  <c r="F34"/>
  <c r="C34" i="14" s="1"/>
  <c r="G34" i="3"/>
  <c r="D34" i="14" s="1"/>
  <c r="H34" i="3"/>
  <c r="E34" i="14" s="1"/>
  <c r="I34" i="3"/>
  <c r="F34" i="14" s="1"/>
  <c r="J34" i="3"/>
  <c r="G34" i="14" s="1"/>
  <c r="K34" i="3"/>
  <c r="H34" i="14" s="1"/>
  <c r="L34" i="3"/>
  <c r="I34" i="14" s="1"/>
  <c r="M34" i="3"/>
  <c r="J34" i="14" s="1"/>
  <c r="N34" i="3"/>
  <c r="K34" i="14" s="1"/>
  <c r="O34" i="3"/>
  <c r="L34" i="14" s="1"/>
  <c r="P34" i="3"/>
  <c r="M34" i="14" s="1"/>
  <c r="Q34" i="3"/>
  <c r="N34" i="14" s="1"/>
  <c r="R34" i="3"/>
  <c r="D35"/>
  <c r="F35"/>
  <c r="G35"/>
  <c r="H35"/>
  <c r="I35"/>
  <c r="J35"/>
  <c r="K35"/>
  <c r="L35"/>
  <c r="M35"/>
  <c r="N35"/>
  <c r="O35"/>
  <c r="P35"/>
  <c r="Q35"/>
  <c r="R35"/>
  <c r="D36"/>
  <c r="E36"/>
  <c r="F36"/>
  <c r="C36" i="14" s="1"/>
  <c r="G36" i="3"/>
  <c r="D36" i="14" s="1"/>
  <c r="H36" i="3"/>
  <c r="E36" i="14" s="1"/>
  <c r="I36" i="3"/>
  <c r="F36" i="14" s="1"/>
  <c r="J36" i="3"/>
  <c r="G36" i="14" s="1"/>
  <c r="K36" i="3"/>
  <c r="H36" i="14" s="1"/>
  <c r="L36" i="3"/>
  <c r="I36" i="14" s="1"/>
  <c r="M36" i="3"/>
  <c r="J36" i="14" s="1"/>
  <c r="N36" i="3"/>
  <c r="K36" i="14" s="1"/>
  <c r="O36" i="3"/>
  <c r="L36" i="14" s="1"/>
  <c r="P36" i="3"/>
  <c r="M36" i="14" s="1"/>
  <c r="Q36" i="3"/>
  <c r="N36" i="14" s="1"/>
  <c r="R36" i="3"/>
  <c r="D37"/>
  <c r="E37"/>
  <c r="F37"/>
  <c r="G37"/>
  <c r="H37"/>
  <c r="I37"/>
  <c r="J37"/>
  <c r="K37"/>
  <c r="L37"/>
  <c r="M37"/>
  <c r="N37"/>
  <c r="O37"/>
  <c r="P37"/>
  <c r="Q37"/>
  <c r="R37"/>
  <c r="H45" i="15" s="1"/>
  <c r="D38" i="3"/>
  <c r="E38"/>
  <c r="F38"/>
  <c r="C38" i="14" s="1"/>
  <c r="G38" i="3"/>
  <c r="D38" i="14" s="1"/>
  <c r="H38" i="3"/>
  <c r="E38" i="14" s="1"/>
  <c r="I38" i="3"/>
  <c r="F38" i="14" s="1"/>
  <c r="J38" i="3"/>
  <c r="G38" i="14" s="1"/>
  <c r="K38" i="3"/>
  <c r="H38" i="14" s="1"/>
  <c r="L38" i="3"/>
  <c r="I38" i="14" s="1"/>
  <c r="M38" i="3"/>
  <c r="J38" i="14" s="1"/>
  <c r="N38" i="3"/>
  <c r="K38" i="14" s="1"/>
  <c r="O38" i="3"/>
  <c r="L38" i="14" s="1"/>
  <c r="P38" i="3"/>
  <c r="M38" i="14" s="1"/>
  <c r="Q38" i="3"/>
  <c r="N38" i="14" s="1"/>
  <c r="R38" i="3"/>
  <c r="E39"/>
  <c r="R39"/>
  <c r="E41"/>
  <c r="F41"/>
  <c r="G41"/>
  <c r="H41"/>
  <c r="I41"/>
  <c r="J41"/>
  <c r="K41"/>
  <c r="L41"/>
  <c r="M41"/>
  <c r="N41"/>
  <c r="O41"/>
  <c r="P41"/>
  <c r="Q41"/>
  <c r="R41"/>
  <c r="S21" s="1"/>
  <c r="S41"/>
  <c r="V41"/>
  <c r="D44"/>
  <c r="E44"/>
  <c r="F44"/>
  <c r="C43" i="14" s="1"/>
  <c r="G44" i="3"/>
  <c r="D43" i="14" s="1"/>
  <c r="H44" i="3"/>
  <c r="E43" i="14" s="1"/>
  <c r="I44" i="3"/>
  <c r="F43" i="14" s="1"/>
  <c r="J44" i="3"/>
  <c r="G43" i="14" s="1"/>
  <c r="K44" i="3"/>
  <c r="H43" i="14" s="1"/>
  <c r="L44" i="3"/>
  <c r="I43" i="14" s="1"/>
  <c r="M44" i="3"/>
  <c r="J43" i="14" s="1"/>
  <c r="N44" i="3"/>
  <c r="K43" i="14" s="1"/>
  <c r="O44" i="3"/>
  <c r="L43" i="14" s="1"/>
  <c r="P44" i="3"/>
  <c r="M43" i="14" s="1"/>
  <c r="Q44" i="3"/>
  <c r="N43" i="14" s="1"/>
  <c r="R44" i="3"/>
  <c r="S44"/>
  <c r="D45"/>
  <c r="E45"/>
  <c r="F45"/>
  <c r="C44" i="14" s="1"/>
  <c r="G45" i="3"/>
  <c r="D44" i="14" s="1"/>
  <c r="H45" i="3"/>
  <c r="E44" i="14" s="1"/>
  <c r="I45" i="3"/>
  <c r="F44" i="14" s="1"/>
  <c r="J45" i="3"/>
  <c r="G44" i="14" s="1"/>
  <c r="K45" i="3"/>
  <c r="H44" i="14" s="1"/>
  <c r="L45" i="3"/>
  <c r="I44" i="14" s="1"/>
  <c r="M45" i="3"/>
  <c r="J44" i="14" s="1"/>
  <c r="N45" i="3"/>
  <c r="K44" i="14" s="1"/>
  <c r="O45" i="3"/>
  <c r="L44" i="14" s="1"/>
  <c r="P45" i="3"/>
  <c r="M44" i="14" s="1"/>
  <c r="Q45" i="3"/>
  <c r="N44" i="14" s="1"/>
  <c r="R45" i="3"/>
  <c r="S45"/>
  <c r="E47"/>
  <c r="F47"/>
  <c r="G47"/>
  <c r="H47"/>
  <c r="I47"/>
  <c r="J47"/>
  <c r="K47"/>
  <c r="L47"/>
  <c r="M47"/>
  <c r="N47"/>
  <c r="O47"/>
  <c r="P47"/>
  <c r="Q47"/>
  <c r="R47"/>
  <c r="S47"/>
  <c r="V47"/>
  <c r="D50"/>
  <c r="E50"/>
  <c r="F50"/>
  <c r="G50"/>
  <c r="H50"/>
  <c r="I50"/>
  <c r="J50"/>
  <c r="K50"/>
  <c r="L50"/>
  <c r="M50"/>
  <c r="N50"/>
  <c r="O50"/>
  <c r="P50"/>
  <c r="Q50"/>
  <c r="R50"/>
  <c r="C58" i="15" s="1"/>
  <c r="C60" s="1"/>
  <c r="E51" i="3"/>
  <c r="F51"/>
  <c r="C50" i="14" s="1"/>
  <c r="G51" i="3"/>
  <c r="D50" i="14" s="1"/>
  <c r="H51" i="3"/>
  <c r="E50" i="14" s="1"/>
  <c r="I51" i="3"/>
  <c r="F50" i="14" s="1"/>
  <c r="J51" i="3"/>
  <c r="G50" i="14" s="1"/>
  <c r="K51" i="3"/>
  <c r="H50" i="14" s="1"/>
  <c r="L51" i="3"/>
  <c r="I50" i="14" s="1"/>
  <c r="M51" i="3"/>
  <c r="J50" i="14" s="1"/>
  <c r="N51" i="3"/>
  <c r="K50" i="14" s="1"/>
  <c r="O51" i="3"/>
  <c r="L50" i="14" s="1"/>
  <c r="P51" i="3"/>
  <c r="M50" i="14" s="1"/>
  <c r="Q51" i="3"/>
  <c r="N50" i="14" s="1"/>
  <c r="R51" i="3"/>
  <c r="D52"/>
  <c r="E52"/>
  <c r="F52"/>
  <c r="C51" i="14" s="1"/>
  <c r="G52" i="3"/>
  <c r="D51" i="14" s="1"/>
  <c r="H52" i="3"/>
  <c r="E51" i="14" s="1"/>
  <c r="I52" i="3"/>
  <c r="F51" i="14" s="1"/>
  <c r="J52" i="3"/>
  <c r="G51" i="14" s="1"/>
  <c r="K52" i="3"/>
  <c r="H51" i="14" s="1"/>
  <c r="L52" i="3"/>
  <c r="I51" i="14" s="1"/>
  <c r="M52" i="3"/>
  <c r="J51" i="14" s="1"/>
  <c r="N52" i="3"/>
  <c r="K51" i="14" s="1"/>
  <c r="O52" i="3"/>
  <c r="L51" i="14" s="1"/>
  <c r="P52" i="3"/>
  <c r="M51" i="14" s="1"/>
  <c r="Q52" i="3"/>
  <c r="N51" i="14" s="1"/>
  <c r="R52" i="3"/>
  <c r="F54"/>
  <c r="G54"/>
  <c r="H54"/>
  <c r="I54"/>
  <c r="J54"/>
  <c r="K54"/>
  <c r="L54"/>
  <c r="M54"/>
  <c r="N54"/>
  <c r="O54"/>
  <c r="P54"/>
  <c r="Q54"/>
  <c r="R54"/>
  <c r="S50" s="1"/>
  <c r="S54"/>
  <c r="V54"/>
  <c r="D57"/>
  <c r="E57"/>
  <c r="F57"/>
  <c r="G57"/>
  <c r="H57"/>
  <c r="I57"/>
  <c r="J57"/>
  <c r="K57"/>
  <c r="L57"/>
  <c r="M57"/>
  <c r="N57"/>
  <c r="O57"/>
  <c r="P57"/>
  <c r="Q57"/>
  <c r="R57"/>
  <c r="E45" i="15" s="1"/>
  <c r="D58" i="3"/>
  <c r="E58"/>
  <c r="F58"/>
  <c r="G58"/>
  <c r="H58"/>
  <c r="I58"/>
  <c r="J58"/>
  <c r="K58"/>
  <c r="L58"/>
  <c r="M58"/>
  <c r="N58"/>
  <c r="O58"/>
  <c r="P58"/>
  <c r="Q58"/>
  <c r="R58"/>
  <c r="D45" i="15" s="1"/>
  <c r="D46" s="1"/>
  <c r="F60" i="3"/>
  <c r="G60"/>
  <c r="H60"/>
  <c r="I60"/>
  <c r="J60"/>
  <c r="K60"/>
  <c r="L60"/>
  <c r="M60"/>
  <c r="N60"/>
  <c r="O60"/>
  <c r="P60"/>
  <c r="Q60"/>
  <c r="R60"/>
  <c r="S57" s="1"/>
  <c r="S60"/>
  <c r="V60"/>
  <c r="D63"/>
  <c r="E63"/>
  <c r="G63"/>
  <c r="D62" i="14" s="1"/>
  <c r="J63" i="3"/>
  <c r="G62" i="14" s="1"/>
  <c r="M63" i="3"/>
  <c r="J62" i="14" s="1"/>
  <c r="N63" i="3"/>
  <c r="K62" i="14" s="1"/>
  <c r="P63" i="3"/>
  <c r="M62" i="14" s="1"/>
  <c r="M67" s="1"/>
  <c r="Q63" i="3"/>
  <c r="N62" i="14" s="1"/>
  <c r="R63" i="3"/>
  <c r="D64"/>
  <c r="E64"/>
  <c r="G64"/>
  <c r="D63" i="14" s="1"/>
  <c r="J64" i="3"/>
  <c r="G63" i="14" s="1"/>
  <c r="K64" i="3"/>
  <c r="H63" i="14" s="1"/>
  <c r="L64" i="3"/>
  <c r="I63" i="14" s="1"/>
  <c r="N64" i="3"/>
  <c r="K63" i="14" s="1"/>
  <c r="O64" i="3"/>
  <c r="L63" i="14" s="1"/>
  <c r="L67" s="1"/>
  <c r="Q64" i="3"/>
  <c r="N63" i="14" s="1"/>
  <c r="R64" i="3"/>
  <c r="E65"/>
  <c r="G65"/>
  <c r="D64" i="14" s="1"/>
  <c r="H65" i="3"/>
  <c r="E64" i="14" s="1"/>
  <c r="E67" s="1"/>
  <c r="I65" i="3"/>
  <c r="F64" i="14" s="1"/>
  <c r="F67" s="1"/>
  <c r="J65" i="3"/>
  <c r="G64" i="14" s="1"/>
  <c r="K65" i="3"/>
  <c r="H64" i="14" s="1"/>
  <c r="L65" i="3"/>
  <c r="I64" i="14" s="1"/>
  <c r="M65" i="3"/>
  <c r="J64" i="14" s="1"/>
  <c r="N65" i="3"/>
  <c r="K64" i="14" s="1"/>
  <c r="Q65" i="3"/>
  <c r="N64" i="14" s="1"/>
  <c r="R65" i="3"/>
  <c r="E66"/>
  <c r="F66"/>
  <c r="G66"/>
  <c r="H66"/>
  <c r="I66"/>
  <c r="J66"/>
  <c r="K66"/>
  <c r="L66"/>
  <c r="M66"/>
  <c r="N66"/>
  <c r="O66"/>
  <c r="P66"/>
  <c r="Q66"/>
  <c r="R66"/>
  <c r="F68"/>
  <c r="G68"/>
  <c r="H68"/>
  <c r="I68"/>
  <c r="J68"/>
  <c r="K68"/>
  <c r="L68"/>
  <c r="M68"/>
  <c r="N68"/>
  <c r="O68"/>
  <c r="P68"/>
  <c r="Q68"/>
  <c r="R68"/>
  <c r="C66" i="15" s="1"/>
  <c r="S68" i="3"/>
  <c r="V68"/>
  <c r="E71"/>
  <c r="F71"/>
  <c r="C70" i="14" s="1"/>
  <c r="G71" i="3"/>
  <c r="D70" i="14" s="1"/>
  <c r="H71" i="3"/>
  <c r="E70" i="14" s="1"/>
  <c r="I71" i="3"/>
  <c r="F70" i="14" s="1"/>
  <c r="J71" i="3"/>
  <c r="G70" i="14" s="1"/>
  <c r="K71" i="3"/>
  <c r="H70" i="14" s="1"/>
  <c r="L71" i="3"/>
  <c r="I70" i="14" s="1"/>
  <c r="M71" i="3"/>
  <c r="J70" i="14" s="1"/>
  <c r="N71" i="3"/>
  <c r="K70" i="14" s="1"/>
  <c r="O71" i="3"/>
  <c r="L70" i="14" s="1"/>
  <c r="P71" i="3"/>
  <c r="M70" i="14" s="1"/>
  <c r="Q71" i="3"/>
  <c r="N70" i="14" s="1"/>
  <c r="R71" i="3"/>
  <c r="E72"/>
  <c r="F72"/>
  <c r="C71" i="14" s="1"/>
  <c r="G72" i="3"/>
  <c r="D71" i="14" s="1"/>
  <c r="H72" i="3"/>
  <c r="E71" i="14" s="1"/>
  <c r="I72" i="3"/>
  <c r="F71" i="14" s="1"/>
  <c r="J72" i="3"/>
  <c r="G71" i="14" s="1"/>
  <c r="K72" i="3"/>
  <c r="H71" i="14" s="1"/>
  <c r="L72" i="3"/>
  <c r="I71" i="14" s="1"/>
  <c r="M72" i="3"/>
  <c r="J71" i="14" s="1"/>
  <c r="N72" i="3"/>
  <c r="K71" i="14" s="1"/>
  <c r="O72" i="3"/>
  <c r="L71" i="14" s="1"/>
  <c r="P72" i="3"/>
  <c r="M71" i="14" s="1"/>
  <c r="Q72" i="3"/>
  <c r="N71" i="14" s="1"/>
  <c r="R72" i="3"/>
  <c r="I73"/>
  <c r="F72" i="14" s="1"/>
  <c r="K73" i="3"/>
  <c r="H72" i="14" s="1"/>
  <c r="L73" i="3"/>
  <c r="I72" i="14" s="1"/>
  <c r="M73" i="3"/>
  <c r="J72" i="14" s="1"/>
  <c r="P73" i="3"/>
  <c r="M72" i="14" s="1"/>
  <c r="R73" i="3"/>
  <c r="D74"/>
  <c r="E74"/>
  <c r="F74"/>
  <c r="C73" i="14" s="1"/>
  <c r="G74" i="3"/>
  <c r="D73" i="14" s="1"/>
  <c r="H74" i="3"/>
  <c r="E73" i="14" s="1"/>
  <c r="I74" i="3"/>
  <c r="F73" i="14" s="1"/>
  <c r="J74" i="3"/>
  <c r="G73" i="14" s="1"/>
  <c r="K74" i="3"/>
  <c r="H73" i="14" s="1"/>
  <c r="L74" i="3"/>
  <c r="I73" i="14" s="1"/>
  <c r="M74" i="3"/>
  <c r="J73" i="14" s="1"/>
  <c r="N74" i="3"/>
  <c r="K73" i="14" s="1"/>
  <c r="O74" i="3"/>
  <c r="L73" i="14" s="1"/>
  <c r="P74" i="3"/>
  <c r="M73" i="14" s="1"/>
  <c r="Q74" i="3"/>
  <c r="N73" i="14" s="1"/>
  <c r="R74" i="3"/>
  <c r="D75"/>
  <c r="E75"/>
  <c r="F75"/>
  <c r="C74" i="14" s="1"/>
  <c r="G75" i="3"/>
  <c r="D74" i="14" s="1"/>
  <c r="H75" i="3"/>
  <c r="E74" i="14" s="1"/>
  <c r="I75" i="3"/>
  <c r="F74" i="14" s="1"/>
  <c r="J75" i="3"/>
  <c r="G74" i="14" s="1"/>
  <c r="K75" i="3"/>
  <c r="H74" i="14" s="1"/>
  <c r="L75" i="3"/>
  <c r="I74" i="14" s="1"/>
  <c r="M75" i="3"/>
  <c r="J74" i="14" s="1"/>
  <c r="N75" i="3"/>
  <c r="K74" i="14" s="1"/>
  <c r="O75" i="3"/>
  <c r="L74" i="14" s="1"/>
  <c r="P75" i="3"/>
  <c r="M74" i="14" s="1"/>
  <c r="Q75" i="3"/>
  <c r="N74" i="14" s="1"/>
  <c r="R75" i="3"/>
  <c r="E77"/>
  <c r="F77"/>
  <c r="G77"/>
  <c r="H77"/>
  <c r="I77"/>
  <c r="J77"/>
  <c r="K77"/>
  <c r="L77"/>
  <c r="M77"/>
  <c r="N77"/>
  <c r="O77"/>
  <c r="P77"/>
  <c r="Q77"/>
  <c r="R77"/>
  <c r="S71" s="1"/>
  <c r="S77"/>
  <c r="V77"/>
  <c r="E81"/>
  <c r="F81"/>
  <c r="C81" i="14" s="1"/>
  <c r="G81" i="3"/>
  <c r="D81" i="14" s="1"/>
  <c r="H81" i="3"/>
  <c r="E81" i="14" s="1"/>
  <c r="I81" i="3"/>
  <c r="F81" i="14" s="1"/>
  <c r="J81" i="3"/>
  <c r="G81" i="14" s="1"/>
  <c r="K81" i="3"/>
  <c r="H81" i="14" s="1"/>
  <c r="L81" i="3"/>
  <c r="I81" i="14" s="1"/>
  <c r="M81" i="3"/>
  <c r="J81" i="14" s="1"/>
  <c r="N81" i="3"/>
  <c r="K81" i="14" s="1"/>
  <c r="O81" i="3"/>
  <c r="L81" i="14" s="1"/>
  <c r="P81" i="3"/>
  <c r="M81" i="14" s="1"/>
  <c r="Q81" i="3"/>
  <c r="N81" i="14" s="1"/>
  <c r="R81" i="3"/>
  <c r="D88"/>
  <c r="E88"/>
  <c r="F88"/>
  <c r="G88"/>
  <c r="H88"/>
  <c r="I88"/>
  <c r="J88"/>
  <c r="K88"/>
  <c r="L88"/>
  <c r="M88"/>
  <c r="N88"/>
  <c r="O88"/>
  <c r="P88"/>
  <c r="Q88"/>
  <c r="R88"/>
  <c r="C81" i="15" s="1"/>
  <c r="E89" i="3"/>
  <c r="F89"/>
  <c r="G89"/>
  <c r="H89"/>
  <c r="I89"/>
  <c r="J89"/>
  <c r="K89"/>
  <c r="L89"/>
  <c r="M89"/>
  <c r="N89"/>
  <c r="O89"/>
  <c r="P89"/>
  <c r="Q89"/>
  <c r="R89"/>
  <c r="D90"/>
  <c r="E90"/>
  <c r="F90"/>
  <c r="G90"/>
  <c r="H90"/>
  <c r="I90"/>
  <c r="J90"/>
  <c r="K90"/>
  <c r="L90"/>
  <c r="M90"/>
  <c r="N90"/>
  <c r="O90"/>
  <c r="P90"/>
  <c r="Q90"/>
  <c r="R90"/>
  <c r="C83" i="15" s="1"/>
  <c r="D83" s="1"/>
  <c r="D91" i="3"/>
  <c r="E91"/>
  <c r="F91"/>
  <c r="G91"/>
  <c r="H91"/>
  <c r="I91"/>
  <c r="J91"/>
  <c r="K91"/>
  <c r="L91"/>
  <c r="M91"/>
  <c r="N91"/>
  <c r="O91"/>
  <c r="P91"/>
  <c r="Q91"/>
  <c r="R91"/>
  <c r="C84" i="15" s="1"/>
  <c r="D84" s="1"/>
  <c r="D92" i="3"/>
  <c r="E92"/>
  <c r="F92"/>
  <c r="G92"/>
  <c r="H92"/>
  <c r="I92"/>
  <c r="J92"/>
  <c r="K92"/>
  <c r="L92"/>
  <c r="M92"/>
  <c r="N92"/>
  <c r="O92"/>
  <c r="P92"/>
  <c r="Q92"/>
  <c r="R92"/>
  <c r="C85" i="15" s="1"/>
  <c r="D85" s="1"/>
  <c r="E93" i="3"/>
  <c r="F93"/>
  <c r="G93"/>
  <c r="H93"/>
  <c r="I93"/>
  <c r="J93"/>
  <c r="K93"/>
  <c r="L93"/>
  <c r="M93"/>
  <c r="N93"/>
  <c r="O93"/>
  <c r="P93"/>
  <c r="Q93"/>
  <c r="R93"/>
  <c r="D94"/>
  <c r="E94"/>
  <c r="F94"/>
  <c r="G94"/>
  <c r="H94"/>
  <c r="I94"/>
  <c r="J94"/>
  <c r="M94"/>
  <c r="N94"/>
  <c r="O94"/>
  <c r="P94"/>
  <c r="Q94"/>
  <c r="R94"/>
  <c r="C87" i="15" s="1"/>
  <c r="D87" s="1"/>
  <c r="D95" i="3"/>
  <c r="E95"/>
  <c r="F95"/>
  <c r="G95"/>
  <c r="H95"/>
  <c r="I95"/>
  <c r="J95"/>
  <c r="L95"/>
  <c r="M95"/>
  <c r="N95"/>
  <c r="O95"/>
  <c r="P95"/>
  <c r="Q95"/>
  <c r="R95"/>
  <c r="C88" i="15" s="1"/>
  <c r="D88" s="1"/>
  <c r="D96" i="3"/>
  <c r="E96"/>
  <c r="F96"/>
  <c r="G96"/>
  <c r="H96"/>
  <c r="I96"/>
  <c r="J96"/>
  <c r="K96"/>
  <c r="L96"/>
  <c r="M96"/>
  <c r="N96"/>
  <c r="O96"/>
  <c r="P96"/>
  <c r="Q96"/>
  <c r="R96"/>
  <c r="C89" i="15" s="1"/>
  <c r="D89" s="1"/>
  <c r="D97" i="3"/>
  <c r="E97"/>
  <c r="F97"/>
  <c r="G97"/>
  <c r="H97"/>
  <c r="I97"/>
  <c r="J97"/>
  <c r="K97"/>
  <c r="L97"/>
  <c r="M97"/>
  <c r="N97"/>
  <c r="O97"/>
  <c r="P97"/>
  <c r="Q97"/>
  <c r="R97"/>
  <c r="C90" i="15" s="1"/>
  <c r="D90" s="1"/>
  <c r="D98" i="3"/>
  <c r="E98"/>
  <c r="F98"/>
  <c r="G98"/>
  <c r="H98"/>
  <c r="I98"/>
  <c r="J98"/>
  <c r="K98"/>
  <c r="L98"/>
  <c r="M98"/>
  <c r="N98"/>
  <c r="O98"/>
  <c r="P98"/>
  <c r="Q98"/>
  <c r="R98"/>
  <c r="C91" i="15" s="1"/>
  <c r="D91" s="1"/>
  <c r="E99" i="3"/>
  <c r="F99"/>
  <c r="G99"/>
  <c r="H99"/>
  <c r="I99"/>
  <c r="J99"/>
  <c r="K99"/>
  <c r="L99"/>
  <c r="M99"/>
  <c r="N99"/>
  <c r="O99"/>
  <c r="P99"/>
  <c r="Q99"/>
  <c r="R99"/>
  <c r="C92" i="15" s="1"/>
  <c r="D92" s="1"/>
  <c r="E100" i="3"/>
  <c r="R100"/>
  <c r="D102"/>
  <c r="E102"/>
  <c r="F102"/>
  <c r="G102"/>
  <c r="H102"/>
  <c r="I102"/>
  <c r="J102"/>
  <c r="K102"/>
  <c r="L102"/>
  <c r="M102"/>
  <c r="N102"/>
  <c r="O102"/>
  <c r="P102"/>
  <c r="Q102"/>
  <c r="R102"/>
  <c r="S88" s="1"/>
  <c r="S102"/>
  <c r="V102"/>
  <c r="D105"/>
  <c r="E105"/>
  <c r="G105"/>
  <c r="H105"/>
  <c r="I105"/>
  <c r="J105"/>
  <c r="K105"/>
  <c r="L105"/>
  <c r="M105"/>
  <c r="N105"/>
  <c r="O105"/>
  <c r="P105"/>
  <c r="Q105"/>
  <c r="R105"/>
  <c r="B107" i="15" s="1"/>
  <c r="B108" s="1"/>
  <c r="B23" i="11" s="1"/>
  <c r="E106" i="3"/>
  <c r="G106"/>
  <c r="H106"/>
  <c r="I106"/>
  <c r="J106"/>
  <c r="K106"/>
  <c r="R106"/>
  <c r="F108"/>
  <c r="G108"/>
  <c r="H108"/>
  <c r="I108"/>
  <c r="J108"/>
  <c r="K108"/>
  <c r="L108"/>
  <c r="M108"/>
  <c r="N108"/>
  <c r="O108"/>
  <c r="P108"/>
  <c r="Q108"/>
  <c r="R108"/>
  <c r="S105" s="1"/>
  <c r="S108"/>
  <c r="V108"/>
  <c r="F110"/>
  <c r="G110"/>
  <c r="H110"/>
  <c r="I110"/>
  <c r="J110"/>
  <c r="K110"/>
  <c r="L110"/>
  <c r="M110"/>
  <c r="N110"/>
  <c r="O110"/>
  <c r="P110"/>
  <c r="Q110"/>
  <c r="R110"/>
  <c r="V110"/>
  <c r="P4" i="1"/>
  <c r="Q4"/>
  <c r="P5"/>
  <c r="P6"/>
  <c r="P8"/>
  <c r="P9"/>
  <c r="N10"/>
  <c r="P11"/>
  <c r="P12"/>
  <c r="O13"/>
  <c r="P13"/>
  <c r="Q13"/>
  <c r="O14"/>
  <c r="P14"/>
  <c r="Q14"/>
  <c r="O15"/>
  <c r="P15"/>
  <c r="Q15"/>
  <c r="O16"/>
  <c r="P16"/>
  <c r="Q16"/>
  <c r="O17"/>
  <c r="P17"/>
  <c r="Q17"/>
  <c r="O18"/>
  <c r="P18"/>
  <c r="Q18"/>
  <c r="O19"/>
  <c r="P19"/>
  <c r="Q19"/>
  <c r="L20"/>
  <c r="O20"/>
  <c r="P20"/>
  <c r="Q20"/>
  <c r="P21"/>
  <c r="H22"/>
  <c r="N22"/>
  <c r="O22"/>
  <c r="P22"/>
  <c r="Q22"/>
  <c r="P23"/>
  <c r="N24"/>
  <c r="O24"/>
  <c r="P24"/>
  <c r="Q24"/>
  <c r="P25"/>
  <c r="O26"/>
  <c r="P26"/>
  <c r="Q26"/>
  <c r="P27"/>
  <c r="H28"/>
  <c r="N28"/>
  <c r="O28"/>
  <c r="P28"/>
  <c r="Q28"/>
  <c r="P29"/>
  <c r="O30"/>
  <c r="P30"/>
  <c r="Q30"/>
  <c r="P31"/>
  <c r="N32"/>
  <c r="O32"/>
  <c r="P32"/>
  <c r="Q32"/>
  <c r="P33"/>
  <c r="O34"/>
  <c r="P34"/>
  <c r="Q34"/>
  <c r="O35"/>
  <c r="P35"/>
  <c r="Q35"/>
  <c r="P36"/>
  <c r="H37"/>
  <c r="N37"/>
  <c r="O37"/>
  <c r="P37"/>
  <c r="Q37"/>
  <c r="P38"/>
  <c r="P39"/>
  <c r="P40"/>
  <c r="Q40"/>
  <c r="H41"/>
  <c r="N41"/>
  <c r="O41"/>
  <c r="P41"/>
  <c r="Q41"/>
  <c r="P42"/>
  <c r="H43"/>
  <c r="J43"/>
  <c r="N43"/>
  <c r="L40" s="1"/>
  <c r="O43"/>
  <c r="P43"/>
  <c r="Q43"/>
  <c r="F15" i="9"/>
  <c r="E17"/>
  <c r="C3" i="4"/>
  <c r="E3"/>
  <c r="F3"/>
  <c r="G3"/>
  <c r="H3"/>
  <c r="I3"/>
  <c r="J3"/>
  <c r="K3"/>
  <c r="L3"/>
  <c r="M3"/>
  <c r="N3"/>
  <c r="O3"/>
  <c r="C6"/>
  <c r="E6"/>
  <c r="F6"/>
  <c r="G6"/>
  <c r="H6"/>
  <c r="I6"/>
  <c r="J6"/>
  <c r="K6"/>
  <c r="L6"/>
  <c r="M6"/>
  <c r="N6"/>
  <c r="O6"/>
  <c r="B9"/>
  <c r="C9"/>
  <c r="E9"/>
  <c r="F9"/>
  <c r="G9"/>
  <c r="H9"/>
  <c r="I9"/>
  <c r="J9"/>
  <c r="K9"/>
  <c r="L9"/>
  <c r="M9"/>
  <c r="N9"/>
  <c r="O9"/>
  <c r="C12"/>
  <c r="C13"/>
  <c r="D13"/>
  <c r="E13"/>
  <c r="F13"/>
  <c r="G13"/>
  <c r="H13"/>
  <c r="I13"/>
  <c r="J13"/>
  <c r="K13"/>
  <c r="L13"/>
  <c r="M13"/>
  <c r="N13"/>
  <c r="O13"/>
  <c r="P13"/>
  <c r="L14" i="1" s="1"/>
  <c r="C14" i="4"/>
  <c r="D14"/>
  <c r="E14"/>
  <c r="F14"/>
  <c r="G14"/>
  <c r="H14"/>
  <c r="I14"/>
  <c r="J14"/>
  <c r="K14"/>
  <c r="L14"/>
  <c r="M14"/>
  <c r="N14"/>
  <c r="O14"/>
  <c r="P14"/>
  <c r="L15" i="1" s="1"/>
  <c r="C15" i="4"/>
  <c r="D15"/>
  <c r="E15"/>
  <c r="F15"/>
  <c r="G15"/>
  <c r="H15"/>
  <c r="I15"/>
  <c r="J15"/>
  <c r="K15"/>
  <c r="L15"/>
  <c r="M15"/>
  <c r="N15"/>
  <c r="O15"/>
  <c r="P15"/>
  <c r="L16" i="1" s="1"/>
  <c r="C16" i="4"/>
  <c r="D16"/>
  <c r="E16"/>
  <c r="F16"/>
  <c r="G16"/>
  <c r="H16"/>
  <c r="I16"/>
  <c r="J16"/>
  <c r="K16"/>
  <c r="L16"/>
  <c r="M16"/>
  <c r="N16"/>
  <c r="O16"/>
  <c r="P16"/>
  <c r="L17" i="1" s="1"/>
  <c r="C17" i="4"/>
  <c r="D17"/>
  <c r="E17"/>
  <c r="F17"/>
  <c r="G17"/>
  <c r="H17"/>
  <c r="I17"/>
  <c r="J17"/>
  <c r="K17"/>
  <c r="L17"/>
  <c r="M17"/>
  <c r="N17"/>
  <c r="O17"/>
  <c r="P17"/>
  <c r="L18" i="1" s="1"/>
  <c r="C18" i="4"/>
  <c r="D18"/>
  <c r="E18"/>
  <c r="F18"/>
  <c r="G18"/>
  <c r="H18"/>
  <c r="I18"/>
  <c r="J18"/>
  <c r="K18"/>
  <c r="L18"/>
  <c r="M18"/>
  <c r="N18"/>
  <c r="O18"/>
  <c r="P18"/>
  <c r="L19" i="1" s="1"/>
  <c r="B20" i="4"/>
  <c r="C20"/>
  <c r="B22"/>
  <c r="C24"/>
  <c r="P24"/>
  <c r="B26"/>
  <c r="C28"/>
  <c r="P28"/>
  <c r="L30" i="1" s="1"/>
  <c r="B30" i="4"/>
  <c r="C32"/>
  <c r="D32"/>
  <c r="E32"/>
  <c r="F32"/>
  <c r="G32"/>
  <c r="H32"/>
  <c r="I32"/>
  <c r="J32"/>
  <c r="K32"/>
  <c r="L32"/>
  <c r="M32"/>
  <c r="N32"/>
  <c r="O32"/>
  <c r="P32"/>
  <c r="L34" i="1" s="1"/>
  <c r="C33" i="4"/>
  <c r="D33"/>
  <c r="E33"/>
  <c r="F33"/>
  <c r="G33"/>
  <c r="H33"/>
  <c r="I33"/>
  <c r="J33"/>
  <c r="K33"/>
  <c r="L33"/>
  <c r="M33"/>
  <c r="N33"/>
  <c r="O33"/>
  <c r="P33"/>
  <c r="L35" i="1" s="1"/>
  <c r="B35" i="4"/>
  <c r="P38"/>
  <c r="E43"/>
  <c r="F43"/>
  <c r="G43"/>
  <c r="H43"/>
  <c r="I43"/>
  <c r="J43"/>
  <c r="K43"/>
  <c r="L43"/>
  <c r="M43"/>
  <c r="N43"/>
  <c r="O43"/>
  <c r="F55"/>
  <c r="F56"/>
  <c r="D57"/>
  <c r="E57"/>
  <c r="F57"/>
  <c r="C5" i="2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C6"/>
  <c r="E6"/>
  <c r="G6"/>
  <c r="H6"/>
  <c r="J6"/>
  <c r="K6"/>
  <c r="M6"/>
  <c r="N6"/>
  <c r="P6"/>
  <c r="Q6"/>
  <c r="S6"/>
  <c r="T6"/>
  <c r="V6"/>
  <c r="W6"/>
  <c r="Y6"/>
  <c r="Z6"/>
  <c r="AB6"/>
  <c r="AC6"/>
  <c r="AE6"/>
  <c r="AF6"/>
  <c r="AH6"/>
  <c r="AI6"/>
  <c r="AJ6"/>
  <c r="AK6"/>
  <c r="AL6"/>
  <c r="AM6"/>
  <c r="E7"/>
  <c r="H7"/>
  <c r="K7"/>
  <c r="N7"/>
  <c r="Q7"/>
  <c r="T7"/>
  <c r="W7"/>
  <c r="Z7"/>
  <c r="AC7"/>
  <c r="AF7"/>
  <c r="AI7"/>
  <c r="AL7"/>
  <c r="AM7"/>
  <c r="B4" i="1" s="1"/>
  <c r="AM8" i="2"/>
  <c r="C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Z9"/>
  <c r="AA9"/>
  <c r="AC9"/>
  <c r="AD9"/>
  <c r="AF9"/>
  <c r="AG9"/>
  <c r="AI9"/>
  <c r="AJ9"/>
  <c r="AL9"/>
  <c r="AM9"/>
  <c r="C10"/>
  <c r="E10"/>
  <c r="H10"/>
  <c r="K10"/>
  <c r="N10"/>
  <c r="Q10"/>
  <c r="T10"/>
  <c r="W10"/>
  <c r="Z10"/>
  <c r="AC10"/>
  <c r="AF10"/>
  <c r="AI10"/>
  <c r="AL10"/>
  <c r="AM10"/>
  <c r="AM11"/>
  <c r="E12"/>
  <c r="H12"/>
  <c r="K12"/>
  <c r="N12"/>
  <c r="Q12"/>
  <c r="T12"/>
  <c r="W12"/>
  <c r="I11" i="5" s="1"/>
  <c r="Z12" i="2"/>
  <c r="AC12"/>
  <c r="AF12"/>
  <c r="AI12"/>
  <c r="AL12"/>
  <c r="AM12"/>
  <c r="D4" i="1" s="1"/>
  <c r="AM13" i="2"/>
  <c r="C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O5" s="1"/>
  <c r="C15"/>
  <c r="E15"/>
  <c r="F15"/>
  <c r="G15"/>
  <c r="H15"/>
  <c r="I15"/>
  <c r="J15"/>
  <c r="K15"/>
  <c r="L15"/>
  <c r="M15"/>
  <c r="N15"/>
  <c r="O15"/>
  <c r="P15"/>
  <c r="Q15"/>
  <c r="R15"/>
  <c r="S15"/>
  <c r="T15"/>
  <c r="V15"/>
  <c r="W15"/>
  <c r="Y15"/>
  <c r="Z15"/>
  <c r="AB15"/>
  <c r="AC15"/>
  <c r="AE15"/>
  <c r="AF15"/>
  <c r="AH15"/>
  <c r="AI15"/>
  <c r="AK15"/>
  <c r="AL15"/>
  <c r="N15" i="5" s="1"/>
  <c r="AM15" i="2"/>
  <c r="AO6" s="1"/>
  <c r="AM16"/>
  <c r="E17"/>
  <c r="H17"/>
  <c r="K17"/>
  <c r="N17"/>
  <c r="Q17"/>
  <c r="T17"/>
  <c r="W17"/>
  <c r="Z17"/>
  <c r="AC17"/>
  <c r="AF17"/>
  <c r="AI17"/>
  <c r="AL17"/>
  <c r="AM17"/>
  <c r="AM18"/>
  <c r="C19"/>
  <c r="E19"/>
  <c r="G19"/>
  <c r="H19"/>
  <c r="J19"/>
  <c r="K19"/>
  <c r="M19"/>
  <c r="N19"/>
  <c r="P19"/>
  <c r="Q19"/>
  <c r="G22" i="5" s="1"/>
  <c r="S19" i="2"/>
  <c r="T19"/>
  <c r="V19"/>
  <c r="W19"/>
  <c r="Y19"/>
  <c r="Z19"/>
  <c r="AB19"/>
  <c r="AC19"/>
  <c r="AE19"/>
  <c r="AF19"/>
  <c r="AH19"/>
  <c r="AI19"/>
  <c r="AK19"/>
  <c r="AL19"/>
  <c r="AM19"/>
  <c r="AO19"/>
  <c r="E20"/>
  <c r="H20"/>
  <c r="K20"/>
  <c r="N20"/>
  <c r="Q20"/>
  <c r="T20"/>
  <c r="W20"/>
  <c r="Z20"/>
  <c r="AC20"/>
  <c r="AF20"/>
  <c r="AI20"/>
  <c r="AL20"/>
  <c r="AM20"/>
  <c r="F4" i="1" s="1"/>
  <c r="AM21" i="2"/>
  <c r="E22"/>
  <c r="H22"/>
  <c r="K22"/>
  <c r="N22"/>
  <c r="Q22"/>
  <c r="T22"/>
  <c r="W22"/>
  <c r="Z22"/>
  <c r="AC22"/>
  <c r="AF22"/>
  <c r="AI22"/>
  <c r="AL22"/>
  <c r="AM22"/>
  <c r="E23"/>
  <c r="H23"/>
  <c r="K23"/>
  <c r="N23"/>
  <c r="Q23"/>
  <c r="T23"/>
  <c r="W23"/>
  <c r="Z23"/>
  <c r="AC23"/>
  <c r="AF23"/>
  <c r="AI23"/>
  <c r="AL23"/>
  <c r="AM23"/>
  <c r="AM24"/>
  <c r="E25"/>
  <c r="G25"/>
  <c r="H25"/>
  <c r="J25"/>
  <c r="K25"/>
  <c r="M25"/>
  <c r="N25"/>
  <c r="P25"/>
  <c r="Q25"/>
  <c r="S25"/>
  <c r="T25"/>
  <c r="V25"/>
  <c r="W25"/>
  <c r="Y25"/>
  <c r="Z25"/>
  <c r="AB25"/>
  <c r="AC25"/>
  <c r="AE25"/>
  <c r="AF25"/>
  <c r="AH25"/>
  <c r="AI25"/>
  <c r="AK25"/>
  <c r="AL25"/>
  <c r="AM25"/>
  <c r="E26"/>
  <c r="H26"/>
  <c r="K26"/>
  <c r="N26"/>
  <c r="Q26"/>
  <c r="T26"/>
  <c r="W26"/>
  <c r="Z26"/>
  <c r="AC26"/>
  <c r="AF26"/>
  <c r="AI26"/>
  <c r="AL26"/>
  <c r="AM26"/>
  <c r="AM27"/>
  <c r="E28"/>
  <c r="H28"/>
  <c r="K28"/>
  <c r="N28"/>
  <c r="Q28"/>
  <c r="T28"/>
  <c r="W28"/>
  <c r="Z28"/>
  <c r="AC28"/>
  <c r="AF28"/>
  <c r="AI28"/>
  <c r="AL28"/>
  <c r="AM28"/>
  <c r="E29"/>
  <c r="H29"/>
  <c r="K29"/>
  <c r="N29"/>
  <c r="Q29"/>
  <c r="T29"/>
  <c r="W29"/>
  <c r="Z29"/>
  <c r="AC29"/>
  <c r="AF29"/>
  <c r="AI29"/>
  <c r="AL29"/>
  <c r="AM29"/>
  <c r="AM30"/>
  <c r="E31"/>
  <c r="G31"/>
  <c r="H31"/>
  <c r="J31"/>
  <c r="K31"/>
  <c r="M31"/>
  <c r="N31"/>
  <c r="P31"/>
  <c r="Q31"/>
  <c r="S31"/>
  <c r="T31"/>
  <c r="V31"/>
  <c r="W31"/>
  <c r="Y31"/>
  <c r="Z31"/>
  <c r="AB31"/>
  <c r="AC31"/>
  <c r="AE31"/>
  <c r="AF31"/>
  <c r="AH31"/>
  <c r="AI31"/>
  <c r="AK31"/>
  <c r="AL31"/>
  <c r="AM31"/>
  <c r="AO31"/>
  <c r="E32"/>
  <c r="C48" i="5" s="1"/>
  <c r="H32" i="2"/>
  <c r="D48" i="5" s="1"/>
  <c r="D50" s="1"/>
  <c r="K32" i="2"/>
  <c r="E48" i="5" s="1"/>
  <c r="E50" s="1"/>
  <c r="N32" i="2"/>
  <c r="F48" i="5" s="1"/>
  <c r="F50" s="1"/>
  <c r="Q32" i="2"/>
  <c r="G48" i="5" s="1"/>
  <c r="G50" s="1"/>
  <c r="T32" i="2"/>
  <c r="H48" i="5" s="1"/>
  <c r="H50" s="1"/>
  <c r="W32" i="2"/>
  <c r="I48" i="5" s="1"/>
  <c r="I50" s="1"/>
  <c r="Z32" i="2"/>
  <c r="J48" i="5" s="1"/>
  <c r="J50" s="1"/>
  <c r="AC32" i="2"/>
  <c r="K48" i="5" s="1"/>
  <c r="K50" s="1"/>
  <c r="AF32" i="2"/>
  <c r="L48" i="5" s="1"/>
  <c r="L50" s="1"/>
  <c r="AI32" i="2"/>
  <c r="M48" i="5" s="1"/>
  <c r="M50" s="1"/>
  <c r="AL32" i="2"/>
  <c r="N48" i="5" s="1"/>
  <c r="N50" s="1"/>
  <c r="AM32" i="2"/>
  <c r="AM33"/>
  <c r="E34"/>
  <c r="C52" i="5" s="1"/>
  <c r="H34" i="2"/>
  <c r="D52" i="5" s="1"/>
  <c r="D53" s="1"/>
  <c r="K34" i="2"/>
  <c r="E52" i="5" s="1"/>
  <c r="E53" s="1"/>
  <c r="N34" i="2"/>
  <c r="F52" i="5" s="1"/>
  <c r="F53" s="1"/>
  <c r="Q34" i="2"/>
  <c r="G52" i="5" s="1"/>
  <c r="G53" s="1"/>
  <c r="T34" i="2"/>
  <c r="H52" i="5" s="1"/>
  <c r="H53" s="1"/>
  <c r="W34" i="2"/>
  <c r="I52" i="5" s="1"/>
  <c r="I53" s="1"/>
  <c r="Z34" i="2"/>
  <c r="J52" i="5" s="1"/>
  <c r="J53" s="1"/>
  <c r="AC34" i="2"/>
  <c r="K52" i="5" s="1"/>
  <c r="K53" s="1"/>
  <c r="AF34" i="2"/>
  <c r="L52" i="5" s="1"/>
  <c r="L53" s="1"/>
  <c r="AI34" i="2"/>
  <c r="M52" i="5" s="1"/>
  <c r="M53" s="1"/>
  <c r="AL34" i="2"/>
  <c r="N52" i="5" s="1"/>
  <c r="N53" s="1"/>
  <c r="AM34" i="2"/>
  <c r="E35"/>
  <c r="H35"/>
  <c r="K35"/>
  <c r="N35"/>
  <c r="Q35"/>
  <c r="T35"/>
  <c r="W35"/>
  <c r="Z35"/>
  <c r="AC35"/>
  <c r="AF35"/>
  <c r="AI35"/>
  <c r="AL35"/>
  <c r="AM35"/>
  <c r="E36"/>
  <c r="H36"/>
  <c r="K36"/>
  <c r="N36"/>
  <c r="Q36"/>
  <c r="T36"/>
  <c r="W36"/>
  <c r="Z36"/>
  <c r="AC36"/>
  <c r="AF36"/>
  <c r="AI36"/>
  <c r="AL36"/>
  <c r="AM36"/>
  <c r="AM37"/>
  <c r="AO25" s="1"/>
  <c r="AM38"/>
  <c r="AM39"/>
  <c r="C40"/>
  <c r="E40"/>
  <c r="C185" i="14" s="1"/>
  <c r="F40" i="2"/>
  <c r="H40"/>
  <c r="D185" i="14" s="1"/>
  <c r="I40" i="2"/>
  <c r="K40"/>
  <c r="E185" i="14" s="1"/>
  <c r="L40" i="2"/>
  <c r="N40"/>
  <c r="F185" i="14" s="1"/>
  <c r="O40" i="2"/>
  <c r="Q40"/>
  <c r="G185" i="14" s="1"/>
  <c r="R40" i="2"/>
  <c r="T40"/>
  <c r="H185" i="14" s="1"/>
  <c r="W40" i="2"/>
  <c r="I185" i="14" s="1"/>
  <c r="Z40" i="2"/>
  <c r="J185" i="14" s="1"/>
  <c r="AC40" i="2"/>
  <c r="K185" i="14" s="1"/>
  <c r="AD40" i="2"/>
  <c r="AF40"/>
  <c r="L185" i="14" s="1"/>
  <c r="AG40" i="2"/>
  <c r="AI40"/>
  <c r="M185" i="14" s="1"/>
  <c r="AJ40" i="2"/>
  <c r="AL40"/>
  <c r="N185" i="14" s="1"/>
  <c r="AM40" i="2"/>
  <c r="AF41"/>
  <c r="AI41"/>
  <c r="AL41"/>
  <c r="AM41"/>
  <c r="E42"/>
  <c r="H42"/>
  <c r="K42"/>
  <c r="N42"/>
  <c r="Q42"/>
  <c r="T42"/>
  <c r="W42"/>
  <c r="Z42"/>
  <c r="AC42"/>
  <c r="AF42"/>
  <c r="AI42"/>
  <c r="AL42"/>
  <c r="AM42"/>
  <c r="H4" i="1" s="1"/>
  <c r="E44" i="2"/>
  <c r="C186" i="14" s="1"/>
  <c r="H44" i="2"/>
  <c r="D186" i="14" s="1"/>
  <c r="I44" i="2"/>
  <c r="K44"/>
  <c r="E186" i="14" s="1"/>
  <c r="L44" i="2"/>
  <c r="N44"/>
  <c r="F186" i="14" s="1"/>
  <c r="O44" i="2"/>
  <c r="Q44"/>
  <c r="G186" i="14" s="1"/>
  <c r="R44" i="2"/>
  <c r="T44"/>
  <c r="H186" i="14" s="1"/>
  <c r="U44" i="2"/>
  <c r="W44"/>
  <c r="I186" i="14" s="1"/>
  <c r="X44" i="2"/>
  <c r="Z44"/>
  <c r="J186" i="14" s="1"/>
  <c r="AC44" i="2"/>
  <c r="K186" i="14" s="1"/>
  <c r="AD44" i="2"/>
  <c r="AF44"/>
  <c r="L186" i="14" s="1"/>
  <c r="AG44" i="2"/>
  <c r="AI44"/>
  <c r="M186" i="14" s="1"/>
  <c r="AJ44" i="2"/>
  <c r="AL44"/>
  <c r="N186" i="14" s="1"/>
  <c r="AM44" i="2"/>
  <c r="C45"/>
  <c r="E45"/>
  <c r="F45"/>
  <c r="H45"/>
  <c r="I45"/>
  <c r="K45"/>
  <c r="L45"/>
  <c r="N45"/>
  <c r="O45"/>
  <c r="Q45"/>
  <c r="R45"/>
  <c r="T45"/>
  <c r="U45"/>
  <c r="W45"/>
  <c r="X45"/>
  <c r="Z45"/>
  <c r="AA45"/>
  <c r="AC45"/>
  <c r="AD45"/>
  <c r="AF45"/>
  <c r="AG45"/>
  <c r="AI45"/>
  <c r="AJ45"/>
  <c r="AL45"/>
  <c r="AM45"/>
  <c r="C46"/>
  <c r="E46"/>
  <c r="F46"/>
  <c r="H46"/>
  <c r="I46"/>
  <c r="K46"/>
  <c r="L46"/>
  <c r="N46"/>
  <c r="O46"/>
  <c r="Q46"/>
  <c r="R46"/>
  <c r="T46"/>
  <c r="U46"/>
  <c r="W46"/>
  <c r="X46"/>
  <c r="Z46"/>
  <c r="AA46"/>
  <c r="AC46"/>
  <c r="AD46"/>
  <c r="AF46"/>
  <c r="AG46"/>
  <c r="AI46"/>
  <c r="AJ46"/>
  <c r="AL46"/>
  <c r="AM46"/>
  <c r="E47"/>
  <c r="H47"/>
  <c r="K47"/>
  <c r="N47"/>
  <c r="Q47"/>
  <c r="T47"/>
  <c r="W47"/>
  <c r="Z47"/>
  <c r="AC47"/>
  <c r="AF47"/>
  <c r="AI47"/>
  <c r="AL47"/>
  <c r="AM47"/>
  <c r="J4" i="1" s="1"/>
  <c r="AM48" i="2"/>
  <c r="C49"/>
  <c r="E49"/>
  <c r="F49"/>
  <c r="H49"/>
  <c r="I49"/>
  <c r="K49"/>
  <c r="L49"/>
  <c r="N49"/>
  <c r="O49"/>
  <c r="Q49"/>
  <c r="R49"/>
  <c r="T49"/>
  <c r="U49"/>
  <c r="W49"/>
  <c r="X49"/>
  <c r="Z49"/>
  <c r="AA49"/>
  <c r="AC49"/>
  <c r="AD49"/>
  <c r="AF49"/>
  <c r="AG49"/>
  <c r="AI49"/>
  <c r="AJ49"/>
  <c r="AL49"/>
  <c r="AM49"/>
  <c r="E50"/>
  <c r="H50"/>
  <c r="K50"/>
  <c r="N50"/>
  <c r="Q50"/>
  <c r="T50"/>
  <c r="W50"/>
  <c r="I70" i="5" s="1"/>
  <c r="Z50" i="2"/>
  <c r="AC50"/>
  <c r="AF50"/>
  <c r="AI50"/>
  <c r="AL50"/>
  <c r="AM50"/>
  <c r="E51"/>
  <c r="H51"/>
  <c r="K51"/>
  <c r="N51"/>
  <c r="Q51"/>
  <c r="T51"/>
  <c r="W51"/>
  <c r="Z51"/>
  <c r="AC51"/>
  <c r="AF51"/>
  <c r="AI51"/>
  <c r="AL51"/>
  <c r="AM51"/>
  <c r="AM52"/>
  <c r="E53"/>
  <c r="H53"/>
  <c r="K53"/>
  <c r="N53"/>
  <c r="Q53"/>
  <c r="T53"/>
  <c r="W53"/>
  <c r="Z53"/>
  <c r="AC53"/>
  <c r="AF53"/>
  <c r="AI53"/>
  <c r="AL53"/>
  <c r="AM53"/>
  <c r="H54"/>
  <c r="K54"/>
  <c r="N54"/>
  <c r="Q54"/>
  <c r="T54"/>
  <c r="W54"/>
  <c r="Z54"/>
  <c r="AC54"/>
  <c r="AF54"/>
  <c r="AI54"/>
  <c r="AL54"/>
  <c r="AM54"/>
  <c r="E55"/>
  <c r="AM55"/>
  <c r="AN55"/>
  <c r="H7" i="12"/>
  <c r="J7"/>
  <c r="L7"/>
  <c r="H15"/>
  <c r="J15"/>
  <c r="L15"/>
  <c r="L19"/>
  <c r="H20"/>
  <c r="J20"/>
  <c r="H22"/>
  <c r="J22"/>
  <c r="L22"/>
  <c r="H39"/>
  <c r="J39"/>
  <c r="L39"/>
  <c r="L44"/>
  <c r="H51"/>
  <c r="J51"/>
  <c r="L51"/>
  <c r="H65"/>
  <c r="J65"/>
  <c r="L65"/>
  <c r="D72"/>
  <c r="E72"/>
  <c r="F72"/>
  <c r="G72"/>
  <c r="H72"/>
  <c r="I72"/>
  <c r="J72"/>
  <c r="D73"/>
  <c r="E73"/>
  <c r="F73"/>
  <c r="G73"/>
  <c r="H73"/>
  <c r="I73"/>
  <c r="J73"/>
  <c r="D74"/>
  <c r="E74"/>
  <c r="F74"/>
  <c r="G74"/>
  <c r="H74"/>
  <c r="I74"/>
  <c r="J74"/>
  <c r="D76"/>
  <c r="E76"/>
  <c r="F76"/>
  <c r="G76"/>
  <c r="H76"/>
  <c r="I76"/>
  <c r="J76"/>
  <c r="D79"/>
  <c r="E79"/>
  <c r="F79"/>
  <c r="G79"/>
  <c r="H79"/>
  <c r="I79"/>
  <c r="J79"/>
  <c r="D80"/>
  <c r="E80"/>
  <c r="F80"/>
  <c r="G80"/>
  <c r="H80"/>
  <c r="I80"/>
  <c r="J80"/>
  <c r="D81"/>
  <c r="E81"/>
  <c r="F81"/>
  <c r="G81"/>
  <c r="H81"/>
  <c r="I81"/>
  <c r="J81"/>
  <c r="B83"/>
  <c r="D83"/>
  <c r="E83"/>
  <c r="F83"/>
  <c r="G83"/>
  <c r="H83"/>
  <c r="I83"/>
  <c r="J83"/>
  <c r="B87"/>
  <c r="D87"/>
  <c r="E87"/>
  <c r="F87"/>
  <c r="G87"/>
  <c r="H87"/>
  <c r="I87"/>
  <c r="J87"/>
  <c r="D89"/>
  <c r="E89"/>
  <c r="F89"/>
  <c r="G89"/>
  <c r="I89"/>
  <c r="J89"/>
  <c r="J98"/>
  <c r="H99"/>
  <c r="J99"/>
  <c r="L99"/>
  <c r="H101"/>
  <c r="J101"/>
  <c r="L101"/>
  <c r="H110"/>
  <c r="J110"/>
  <c r="H111"/>
  <c r="J111"/>
  <c r="L111"/>
  <c r="H113"/>
  <c r="J113"/>
  <c r="L113"/>
  <c r="H118"/>
  <c r="J118"/>
  <c r="L120"/>
  <c r="J117" s="1"/>
  <c r="J120" s="1"/>
  <c r="H117" s="1"/>
  <c r="H120" s="1"/>
  <c r="H127"/>
  <c r="J127"/>
  <c r="L127"/>
  <c r="H133"/>
  <c r="J133"/>
  <c r="L133"/>
  <c r="F137"/>
  <c r="H137"/>
  <c r="J137"/>
  <c r="F138"/>
  <c r="H138"/>
  <c r="J138"/>
  <c r="F139"/>
  <c r="H139"/>
  <c r="J139"/>
  <c r="F141"/>
  <c r="H141"/>
  <c r="J141"/>
  <c r="L141"/>
  <c r="F148"/>
  <c r="H148"/>
  <c r="J148"/>
  <c r="F149"/>
  <c r="H149"/>
  <c r="J149"/>
  <c r="L149"/>
  <c r="F150"/>
  <c r="H150"/>
  <c r="J150"/>
  <c r="F151"/>
  <c r="H151"/>
  <c r="J151"/>
  <c r="L151"/>
  <c r="F152"/>
  <c r="H152"/>
  <c r="J152"/>
  <c r="F153"/>
  <c r="H153"/>
  <c r="J153"/>
  <c r="F155"/>
  <c r="H155"/>
  <c r="J155"/>
  <c r="L155"/>
  <c r="F159"/>
  <c r="H159"/>
  <c r="J159"/>
  <c r="F160"/>
  <c r="H160"/>
  <c r="J160"/>
  <c r="F161"/>
  <c r="H161"/>
  <c r="J161"/>
  <c r="F162"/>
  <c r="H162"/>
  <c r="J162"/>
  <c r="F163"/>
  <c r="H163"/>
  <c r="J163"/>
  <c r="F164"/>
  <c r="H164"/>
  <c r="J164"/>
  <c r="F165"/>
  <c r="H165"/>
  <c r="J165"/>
  <c r="F166"/>
  <c r="H166"/>
  <c r="J166"/>
  <c r="J167"/>
  <c r="F168"/>
  <c r="H168"/>
  <c r="J168"/>
  <c r="F169"/>
  <c r="H169"/>
  <c r="J169"/>
  <c r="F170"/>
  <c r="H170"/>
  <c r="J170"/>
  <c r="F172"/>
  <c r="H172"/>
  <c r="J172"/>
  <c r="L172"/>
  <c r="F176"/>
  <c r="H176"/>
  <c r="J176"/>
  <c r="F177"/>
  <c r="H177"/>
  <c r="J177"/>
  <c r="F178"/>
  <c r="H178"/>
  <c r="J178"/>
  <c r="F179"/>
  <c r="H179"/>
  <c r="J179"/>
  <c r="F180"/>
  <c r="H180"/>
  <c r="J180"/>
  <c r="F181"/>
  <c r="H181"/>
  <c r="J181"/>
  <c r="F182"/>
  <c r="H182"/>
  <c r="J182"/>
  <c r="F183"/>
  <c r="H183"/>
  <c r="J183"/>
  <c r="F184"/>
  <c r="H184"/>
  <c r="J184"/>
  <c r="F185"/>
  <c r="H185"/>
  <c r="J185"/>
  <c r="F186"/>
  <c r="H186"/>
  <c r="J186"/>
  <c r="F187"/>
  <c r="H187"/>
  <c r="J187"/>
  <c r="F188"/>
  <c r="H188"/>
  <c r="J188"/>
  <c r="F189"/>
  <c r="H189"/>
  <c r="J189"/>
  <c r="F190"/>
  <c r="H190"/>
  <c r="F191"/>
  <c r="H191"/>
  <c r="J191"/>
  <c r="F192"/>
  <c r="H192"/>
  <c r="J192"/>
  <c r="F193"/>
  <c r="H193"/>
  <c r="J193"/>
  <c r="F194"/>
  <c r="H194"/>
  <c r="J194"/>
  <c r="F195"/>
  <c r="H195"/>
  <c r="J195"/>
  <c r="F196"/>
  <c r="H196"/>
  <c r="J196"/>
  <c r="F197"/>
  <c r="H197"/>
  <c r="J197"/>
  <c r="F198"/>
  <c r="H198"/>
  <c r="J198"/>
  <c r="F199"/>
  <c r="H199"/>
  <c r="J199"/>
  <c r="J200"/>
  <c r="F202"/>
  <c r="H202"/>
  <c r="J202"/>
  <c r="L202"/>
  <c r="F206"/>
  <c r="H206"/>
  <c r="J206"/>
  <c r="F207"/>
  <c r="H207"/>
  <c r="J207"/>
  <c r="F208"/>
  <c r="H208"/>
  <c r="J208"/>
  <c r="F210"/>
  <c r="H210"/>
  <c r="J210"/>
  <c r="L210"/>
  <c r="F214"/>
  <c r="H214"/>
  <c r="J214"/>
  <c r="F215"/>
  <c r="H215"/>
  <c r="J215"/>
  <c r="F216"/>
  <c r="H216"/>
  <c r="J216"/>
  <c r="F218"/>
  <c r="H218"/>
  <c r="J218"/>
  <c r="L218"/>
  <c r="F222"/>
  <c r="H222"/>
  <c r="J222"/>
  <c r="F223"/>
  <c r="H223"/>
  <c r="J223"/>
  <c r="F224"/>
  <c r="H224"/>
  <c r="J224"/>
  <c r="F226"/>
  <c r="H226"/>
  <c r="J226"/>
  <c r="L226"/>
  <c r="F230"/>
  <c r="H230"/>
  <c r="J230"/>
  <c r="F231"/>
  <c r="H231"/>
  <c r="J231"/>
  <c r="F232"/>
  <c r="H232"/>
  <c r="J232"/>
  <c r="F233"/>
  <c r="H233"/>
  <c r="J233"/>
  <c r="F235"/>
  <c r="H235"/>
  <c r="J235"/>
  <c r="L235"/>
  <c r="F239"/>
  <c r="H239"/>
  <c r="J239"/>
  <c r="F240"/>
  <c r="H240"/>
  <c r="J240"/>
  <c r="F241"/>
  <c r="H241"/>
  <c r="J241"/>
  <c r="F242"/>
  <c r="H242"/>
  <c r="J242"/>
  <c r="F243"/>
  <c r="H243"/>
  <c r="J243"/>
  <c r="F244"/>
  <c r="H244"/>
  <c r="J244"/>
  <c r="F246"/>
  <c r="H246"/>
  <c r="J246"/>
  <c r="L246"/>
  <c r="F254"/>
  <c r="H254"/>
  <c r="J254"/>
  <c r="L4" i="17"/>
  <c r="M4"/>
  <c r="N4"/>
  <c r="L5"/>
  <c r="M5"/>
  <c r="N5"/>
  <c r="L6"/>
  <c r="M6"/>
  <c r="N6"/>
  <c r="L7"/>
  <c r="M7"/>
  <c r="N7"/>
  <c r="L8"/>
  <c r="M8"/>
  <c r="N8"/>
  <c r="N7" i="21"/>
  <c r="O10"/>
  <c r="O11"/>
  <c r="O12"/>
  <c r="O13"/>
  <c r="H16"/>
  <c r="I16"/>
  <c r="J16"/>
  <c r="K16"/>
  <c r="M16"/>
  <c r="N16"/>
  <c r="O16"/>
  <c r="C18"/>
  <c r="D18"/>
  <c r="E18"/>
  <c r="F18"/>
  <c r="O19"/>
  <c r="O21"/>
  <c r="O22"/>
  <c r="O23"/>
  <c r="O24"/>
  <c r="O25"/>
  <c r="O26"/>
  <c r="O27"/>
  <c r="O28"/>
  <c r="H29"/>
  <c r="I29"/>
  <c r="J29"/>
  <c r="K29"/>
  <c r="L29"/>
  <c r="M29"/>
  <c r="N29"/>
  <c r="O29"/>
  <c r="O30"/>
  <c r="O31"/>
  <c r="O32"/>
  <c r="O33"/>
  <c r="O34"/>
  <c r="I35"/>
  <c r="L35"/>
  <c r="O35"/>
  <c r="O36"/>
  <c r="H37"/>
  <c r="O37"/>
  <c r="O38"/>
  <c r="O39"/>
  <c r="C40"/>
  <c r="D40"/>
  <c r="E40"/>
  <c r="F40"/>
  <c r="G40"/>
  <c r="H40"/>
  <c r="I40"/>
  <c r="J40"/>
  <c r="K40"/>
  <c r="L40"/>
  <c r="M40"/>
  <c r="N40"/>
  <c r="O40"/>
  <c r="P40"/>
  <c r="O43"/>
  <c r="O44"/>
  <c r="C46"/>
  <c r="D46"/>
  <c r="E46"/>
  <c r="F46"/>
  <c r="G46"/>
  <c r="H46"/>
  <c r="I46"/>
  <c r="J46"/>
  <c r="K46"/>
  <c r="L46"/>
  <c r="M46"/>
  <c r="N46"/>
  <c r="O46"/>
  <c r="P46"/>
  <c r="N49"/>
  <c r="O49"/>
  <c r="O50"/>
  <c r="O51"/>
  <c r="C53"/>
  <c r="D53"/>
  <c r="E53"/>
  <c r="F53"/>
  <c r="G53"/>
  <c r="H53"/>
  <c r="I53"/>
  <c r="J53"/>
  <c r="K53"/>
  <c r="L53"/>
  <c r="M53"/>
  <c r="N53"/>
  <c r="O53"/>
  <c r="P53"/>
  <c r="O56"/>
  <c r="O57"/>
  <c r="O58"/>
  <c r="C59"/>
  <c r="D59"/>
  <c r="E59"/>
  <c r="F59"/>
  <c r="G59"/>
  <c r="H59"/>
  <c r="I59"/>
  <c r="M59"/>
  <c r="O59"/>
  <c r="P59"/>
  <c r="C62"/>
  <c r="D62"/>
  <c r="E62"/>
  <c r="F62"/>
  <c r="G62"/>
  <c r="H62"/>
  <c r="I62"/>
  <c r="J62"/>
  <c r="K62"/>
  <c r="L62"/>
  <c r="M62"/>
  <c r="N62"/>
  <c r="O62"/>
  <c r="O63"/>
  <c r="I64"/>
  <c r="J64"/>
  <c r="O64"/>
  <c r="O65"/>
  <c r="C67"/>
  <c r="D67"/>
  <c r="E67"/>
  <c r="F67"/>
  <c r="G67"/>
  <c r="H67"/>
  <c r="I67"/>
  <c r="J67"/>
  <c r="K67"/>
  <c r="L67"/>
  <c r="M67"/>
  <c r="N67"/>
  <c r="O67"/>
  <c r="P67"/>
  <c r="C70"/>
  <c r="D70"/>
  <c r="E70"/>
  <c r="F70"/>
  <c r="G70"/>
  <c r="H70"/>
  <c r="I70"/>
  <c r="J70"/>
  <c r="K70"/>
  <c r="L70"/>
  <c r="M70"/>
  <c r="N70"/>
  <c r="O70"/>
  <c r="C71"/>
  <c r="D71"/>
  <c r="E71"/>
  <c r="F71"/>
  <c r="G71"/>
  <c r="H71"/>
  <c r="I71"/>
  <c r="J71"/>
  <c r="K71"/>
  <c r="L71"/>
  <c r="M71"/>
  <c r="N71"/>
  <c r="O71"/>
  <c r="C72"/>
  <c r="D72"/>
  <c r="E72"/>
  <c r="F72"/>
  <c r="G72"/>
  <c r="H72"/>
  <c r="I72"/>
  <c r="J72"/>
  <c r="K72"/>
  <c r="L72"/>
  <c r="M72"/>
  <c r="N72"/>
  <c r="O72"/>
  <c r="C73"/>
  <c r="D73"/>
  <c r="E73"/>
  <c r="F73"/>
  <c r="G73"/>
  <c r="H73"/>
  <c r="I73"/>
  <c r="J73"/>
  <c r="K73"/>
  <c r="L73"/>
  <c r="M73"/>
  <c r="N73"/>
  <c r="O73"/>
  <c r="C75"/>
  <c r="D75"/>
  <c r="E75"/>
  <c r="F75"/>
  <c r="G75"/>
  <c r="H75"/>
  <c r="I75"/>
  <c r="J75"/>
  <c r="K75"/>
  <c r="L75"/>
  <c r="M75"/>
  <c r="N75"/>
  <c r="O75"/>
  <c r="P75"/>
  <c r="C77"/>
  <c r="D77"/>
  <c r="E77"/>
  <c r="F77"/>
  <c r="G77"/>
  <c r="O82"/>
  <c r="O83"/>
  <c r="O84"/>
  <c r="O85"/>
  <c r="O86"/>
  <c r="O87"/>
  <c r="O88"/>
  <c r="O89"/>
  <c r="O90"/>
  <c r="O91"/>
  <c r="O92"/>
  <c r="O93"/>
  <c r="O94"/>
  <c r="C95"/>
  <c r="D95"/>
  <c r="E95"/>
  <c r="F95"/>
  <c r="G95"/>
  <c r="H95"/>
  <c r="I95"/>
  <c r="J95"/>
  <c r="K95"/>
  <c r="L95"/>
  <c r="M95"/>
  <c r="N95"/>
  <c r="O95"/>
  <c r="P95"/>
  <c r="O98"/>
  <c r="O99"/>
  <c r="C101"/>
  <c r="D101"/>
  <c r="E101"/>
  <c r="F101"/>
  <c r="G101"/>
  <c r="H101"/>
  <c r="I101"/>
  <c r="J101"/>
  <c r="K101"/>
  <c r="L101"/>
  <c r="M101"/>
  <c r="N101"/>
  <c r="O101"/>
  <c r="P101"/>
  <c r="C103"/>
  <c r="D103"/>
  <c r="E103"/>
  <c r="F103"/>
  <c r="G103"/>
  <c r="H103"/>
  <c r="I103"/>
  <c r="J103"/>
  <c r="K103"/>
  <c r="L103"/>
  <c r="M103"/>
  <c r="N103"/>
  <c r="O103"/>
  <c r="P103"/>
  <c r="H105"/>
  <c r="I105"/>
  <c r="J105"/>
  <c r="K105"/>
  <c r="L105"/>
  <c r="M105"/>
  <c r="N105"/>
  <c r="O105"/>
  <c r="C107"/>
  <c r="D107"/>
  <c r="E107"/>
  <c r="F107"/>
  <c r="G107"/>
  <c r="O172"/>
  <c r="D173"/>
  <c r="E173"/>
  <c r="O173"/>
  <c r="E174"/>
  <c r="F174"/>
  <c r="O174"/>
  <c r="F175"/>
  <c r="G175"/>
  <c r="O175"/>
  <c r="G176"/>
  <c r="H176"/>
  <c r="O176"/>
  <c r="H177"/>
  <c r="I177"/>
  <c r="O177"/>
  <c r="I178"/>
  <c r="J178"/>
  <c r="O178"/>
  <c r="J179"/>
  <c r="K179"/>
  <c r="O179"/>
  <c r="K180"/>
  <c r="L180"/>
  <c r="O180"/>
  <c r="L181"/>
  <c r="M181"/>
  <c r="O181"/>
  <c r="M182"/>
  <c r="N182"/>
  <c r="O182"/>
  <c r="N183"/>
  <c r="O183"/>
  <c r="O184"/>
  <c r="C186"/>
  <c r="D186"/>
  <c r="E186"/>
  <c r="F186"/>
  <c r="G186"/>
  <c r="H186"/>
  <c r="I186"/>
  <c r="J186"/>
  <c r="K186"/>
  <c r="L186"/>
  <c r="M186"/>
  <c r="N186"/>
  <c r="O186"/>
  <c r="P186"/>
  <c r="C191"/>
  <c r="C192"/>
  <c r="D194"/>
  <c r="E194"/>
  <c r="F194"/>
  <c r="G194"/>
  <c r="I194"/>
  <c r="J194"/>
  <c r="K194"/>
  <c r="L194"/>
  <c r="M194"/>
  <c r="N194"/>
  <c r="O194"/>
  <c r="C195"/>
  <c r="D195"/>
  <c r="E195"/>
  <c r="F195"/>
  <c r="G195"/>
  <c r="H195"/>
  <c r="I195"/>
  <c r="J195"/>
  <c r="K195"/>
  <c r="L195"/>
  <c r="M195"/>
  <c r="N195"/>
  <c r="O195"/>
  <c r="C202"/>
  <c r="D202"/>
  <c r="E202"/>
  <c r="F202"/>
  <c r="G202"/>
  <c r="H202"/>
  <c r="I202"/>
  <c r="J202"/>
  <c r="K202"/>
  <c r="L202"/>
  <c r="M202"/>
  <c r="N202"/>
  <c r="O202"/>
  <c r="C203"/>
  <c r="D203"/>
  <c r="E203"/>
  <c r="F203"/>
  <c r="G203"/>
  <c r="H203"/>
  <c r="I203"/>
  <c r="J203"/>
  <c r="K203"/>
  <c r="L203"/>
  <c r="M203"/>
  <c r="N203"/>
  <c r="O203"/>
  <c r="C204"/>
  <c r="D204"/>
  <c r="E204"/>
  <c r="F204"/>
  <c r="G204"/>
  <c r="H204"/>
  <c r="I204"/>
  <c r="J204"/>
  <c r="K204"/>
  <c r="L204"/>
  <c r="M204"/>
  <c r="N204"/>
  <c r="O204"/>
  <c r="C205"/>
  <c r="D205"/>
  <c r="E205"/>
  <c r="F205"/>
  <c r="G205"/>
  <c r="H205"/>
  <c r="I205"/>
  <c r="J205"/>
  <c r="K205"/>
  <c r="L205"/>
  <c r="M205"/>
  <c r="N205"/>
  <c r="O205"/>
  <c r="O206"/>
  <c r="O207"/>
  <c r="C208"/>
  <c r="D208"/>
  <c r="E208"/>
  <c r="F208"/>
  <c r="G208"/>
  <c r="H208"/>
  <c r="I208"/>
  <c r="J208"/>
  <c r="K208"/>
  <c r="L208"/>
  <c r="M208"/>
  <c r="N208"/>
  <c r="O208"/>
  <c r="C209"/>
  <c r="D209"/>
  <c r="E209"/>
  <c r="F209"/>
  <c r="G209"/>
  <c r="H209"/>
  <c r="I209"/>
  <c r="J209"/>
  <c r="K209"/>
  <c r="L209"/>
  <c r="M209"/>
  <c r="N209"/>
  <c r="O209"/>
  <c r="O210"/>
  <c r="O211"/>
  <c r="C212"/>
  <c r="D212"/>
  <c r="E212"/>
  <c r="F212"/>
  <c r="G212"/>
  <c r="H212"/>
  <c r="I212"/>
  <c r="J212"/>
  <c r="K212"/>
  <c r="L212"/>
  <c r="M212"/>
  <c r="N212"/>
  <c r="O212"/>
  <c r="P212"/>
  <c r="O215"/>
  <c r="D216"/>
  <c r="E216"/>
  <c r="O216"/>
  <c r="E217"/>
  <c r="F217"/>
  <c r="O217"/>
  <c r="F218"/>
  <c r="G218"/>
  <c r="O218"/>
  <c r="G219"/>
  <c r="H219"/>
  <c r="O219"/>
  <c r="H220"/>
  <c r="I220"/>
  <c r="O220"/>
  <c r="I221"/>
  <c r="J221"/>
  <c r="O221"/>
  <c r="J222"/>
  <c r="K222"/>
  <c r="O222"/>
  <c r="K223"/>
  <c r="L223"/>
  <c r="O223"/>
  <c r="L224"/>
  <c r="M224"/>
  <c r="O224"/>
  <c r="M225"/>
  <c r="N225"/>
  <c r="O225"/>
  <c r="N226"/>
  <c r="O226"/>
  <c r="O227"/>
  <c r="C229"/>
  <c r="D229"/>
  <c r="E229"/>
  <c r="F229"/>
  <c r="G229"/>
  <c r="H229"/>
  <c r="I229"/>
  <c r="J229"/>
  <c r="K229"/>
  <c r="L229"/>
  <c r="M229"/>
  <c r="N229"/>
  <c r="O229"/>
  <c r="P229"/>
  <c r="D232"/>
  <c r="E232"/>
  <c r="F232"/>
  <c r="G232"/>
  <c r="H232"/>
  <c r="I232"/>
  <c r="J232"/>
  <c r="K232"/>
  <c r="L232"/>
  <c r="M232"/>
  <c r="N232"/>
  <c r="O232"/>
  <c r="C234"/>
  <c r="D234"/>
  <c r="E234"/>
  <c r="F234"/>
  <c r="G234"/>
  <c r="H234"/>
  <c r="I234"/>
  <c r="J234"/>
  <c r="K234"/>
  <c r="L234"/>
  <c r="M234"/>
  <c r="N234"/>
  <c r="O234"/>
  <c r="P234"/>
  <c r="O236"/>
  <c r="O237"/>
  <c r="D238"/>
  <c r="E238"/>
  <c r="O238"/>
  <c r="E239"/>
  <c r="F239"/>
  <c r="O239"/>
  <c r="F240"/>
  <c r="G240"/>
  <c r="O240"/>
  <c r="G241"/>
  <c r="H241"/>
  <c r="O241"/>
  <c r="H242"/>
  <c r="I242"/>
  <c r="O242"/>
  <c r="I243"/>
  <c r="J243"/>
  <c r="O243"/>
  <c r="J244"/>
  <c r="K244"/>
  <c r="O244"/>
  <c r="K245"/>
  <c r="L245"/>
  <c r="O245"/>
  <c r="L246"/>
  <c r="M246"/>
  <c r="O246"/>
  <c r="M247"/>
  <c r="N247"/>
  <c r="O247"/>
  <c r="N248"/>
  <c r="O248"/>
  <c r="C250"/>
  <c r="D250"/>
  <c r="E250"/>
  <c r="F250"/>
  <c r="G250"/>
  <c r="H250"/>
  <c r="I250"/>
  <c r="J250"/>
  <c r="K250"/>
  <c r="L250"/>
  <c r="M250"/>
  <c r="N250"/>
  <c r="O250"/>
  <c r="P250"/>
  <c r="D253"/>
  <c r="E253"/>
  <c r="F253"/>
  <c r="G253"/>
  <c r="H253"/>
  <c r="I253"/>
  <c r="J253"/>
  <c r="K253"/>
  <c r="L253"/>
  <c r="M253"/>
  <c r="N253"/>
  <c r="O253"/>
  <c r="E254"/>
  <c r="F254"/>
  <c r="G254"/>
  <c r="H254"/>
  <c r="I254"/>
  <c r="J254"/>
  <c r="K254"/>
  <c r="L254"/>
  <c r="M254"/>
  <c r="N254"/>
  <c r="O254"/>
  <c r="F255"/>
  <c r="G255"/>
  <c r="H255"/>
  <c r="I255"/>
  <c r="J255"/>
  <c r="K255"/>
  <c r="L255"/>
  <c r="M255"/>
  <c r="N255"/>
  <c r="O255"/>
  <c r="G256"/>
  <c r="H256"/>
  <c r="I256"/>
  <c r="J256"/>
  <c r="K256"/>
  <c r="L256"/>
  <c r="M256"/>
  <c r="N256"/>
  <c r="O256"/>
  <c r="C258"/>
  <c r="D258"/>
  <c r="E258"/>
  <c r="F258"/>
  <c r="G258"/>
  <c r="H258"/>
  <c r="I258"/>
  <c r="J258"/>
  <c r="K258"/>
  <c r="L258"/>
  <c r="M258"/>
  <c r="N258"/>
  <c r="O258"/>
  <c r="P258"/>
  <c r="C261"/>
  <c r="D261"/>
  <c r="E261"/>
  <c r="F261"/>
  <c r="G261"/>
  <c r="H261"/>
  <c r="I261"/>
  <c r="J261"/>
  <c r="K261"/>
  <c r="L261"/>
  <c r="M261"/>
  <c r="N261"/>
  <c r="O261"/>
  <c r="P261"/>
  <c r="Q261"/>
  <c r="N7" i="22"/>
  <c r="O10"/>
  <c r="C11"/>
  <c r="O11"/>
  <c r="O12"/>
  <c r="O13"/>
  <c r="D16"/>
  <c r="E16"/>
  <c r="F16"/>
  <c r="G16"/>
  <c r="H16"/>
  <c r="I16"/>
  <c r="J16"/>
  <c r="K16"/>
  <c r="M16"/>
  <c r="N16"/>
  <c r="O16"/>
  <c r="O19"/>
  <c r="O21"/>
  <c r="D22"/>
  <c r="E22"/>
  <c r="G22"/>
  <c r="H22"/>
  <c r="J22"/>
  <c r="K22"/>
  <c r="M22"/>
  <c r="N22"/>
  <c r="O22"/>
  <c r="O23"/>
  <c r="O24"/>
  <c r="O25"/>
  <c r="O26"/>
  <c r="O27"/>
  <c r="O28"/>
  <c r="D29"/>
  <c r="E29"/>
  <c r="F29"/>
  <c r="G29"/>
  <c r="H29"/>
  <c r="I29"/>
  <c r="J29"/>
  <c r="K29"/>
  <c r="L29"/>
  <c r="M29"/>
  <c r="N29"/>
  <c r="O29"/>
  <c r="O30"/>
  <c r="I31"/>
  <c r="J31"/>
  <c r="L31"/>
  <c r="N31"/>
  <c r="O31"/>
  <c r="O32"/>
  <c r="O33"/>
  <c r="O34"/>
  <c r="F35"/>
  <c r="I35"/>
  <c r="L35"/>
  <c r="O35"/>
  <c r="O36"/>
  <c r="E37"/>
  <c r="O37"/>
  <c r="O38"/>
  <c r="O39"/>
  <c r="C40"/>
  <c r="D40"/>
  <c r="E40"/>
  <c r="F40"/>
  <c r="G40"/>
  <c r="H40"/>
  <c r="I40"/>
  <c r="J40"/>
  <c r="K40"/>
  <c r="L40"/>
  <c r="M40"/>
  <c r="N40"/>
  <c r="O40"/>
  <c r="P40"/>
  <c r="O43"/>
  <c r="O44"/>
  <c r="C46"/>
  <c r="D46"/>
  <c r="E46"/>
  <c r="F46"/>
  <c r="G46"/>
  <c r="H46"/>
  <c r="I46"/>
  <c r="J46"/>
  <c r="K46"/>
  <c r="L46"/>
  <c r="M46"/>
  <c r="N46"/>
  <c r="O46"/>
  <c r="P46"/>
  <c r="E49"/>
  <c r="N49"/>
  <c r="O49"/>
  <c r="O50"/>
  <c r="O51"/>
  <c r="C53"/>
  <c r="D53"/>
  <c r="E53"/>
  <c r="F53"/>
  <c r="G53"/>
  <c r="H53"/>
  <c r="I53"/>
  <c r="J53"/>
  <c r="K53"/>
  <c r="L53"/>
  <c r="M53"/>
  <c r="N53"/>
  <c r="O53"/>
  <c r="P53"/>
  <c r="O56"/>
  <c r="O57"/>
  <c r="O58"/>
  <c r="C59"/>
  <c r="D59"/>
  <c r="E59"/>
  <c r="F59"/>
  <c r="G59"/>
  <c r="H59"/>
  <c r="I59"/>
  <c r="M59"/>
  <c r="O59"/>
  <c r="P59"/>
  <c r="C62"/>
  <c r="D62"/>
  <c r="E62"/>
  <c r="F62"/>
  <c r="G62"/>
  <c r="H62"/>
  <c r="I62"/>
  <c r="J62"/>
  <c r="K62"/>
  <c r="L62"/>
  <c r="M62"/>
  <c r="N62"/>
  <c r="O62"/>
  <c r="O63"/>
  <c r="D64"/>
  <c r="E64"/>
  <c r="F64"/>
  <c r="G64"/>
  <c r="H64"/>
  <c r="I64"/>
  <c r="J64"/>
  <c r="K64"/>
  <c r="L64"/>
  <c r="M64"/>
  <c r="N64"/>
  <c r="O64"/>
  <c r="O65"/>
  <c r="C67"/>
  <c r="D67"/>
  <c r="E67"/>
  <c r="F67"/>
  <c r="G67"/>
  <c r="H67"/>
  <c r="I67"/>
  <c r="J67"/>
  <c r="K67"/>
  <c r="L67"/>
  <c r="M67"/>
  <c r="N67"/>
  <c r="O67"/>
  <c r="P67"/>
  <c r="C70"/>
  <c r="D70"/>
  <c r="E70"/>
  <c r="F70"/>
  <c r="G70"/>
  <c r="H70"/>
  <c r="I70"/>
  <c r="J70"/>
  <c r="K70"/>
  <c r="L70"/>
  <c r="M70"/>
  <c r="N70"/>
  <c r="O70"/>
  <c r="C71"/>
  <c r="D71"/>
  <c r="E71"/>
  <c r="F71"/>
  <c r="G71"/>
  <c r="H71"/>
  <c r="I71"/>
  <c r="J71"/>
  <c r="K71"/>
  <c r="L71"/>
  <c r="M71"/>
  <c r="N71"/>
  <c r="O71"/>
  <c r="C72"/>
  <c r="D72"/>
  <c r="E72"/>
  <c r="F72"/>
  <c r="G72"/>
  <c r="H72"/>
  <c r="I72"/>
  <c r="J72"/>
  <c r="K72"/>
  <c r="L72"/>
  <c r="M72"/>
  <c r="N72"/>
  <c r="O72"/>
  <c r="C73"/>
  <c r="D73"/>
  <c r="E73"/>
  <c r="F73"/>
  <c r="G73"/>
  <c r="H73"/>
  <c r="I73"/>
  <c r="J73"/>
  <c r="K73"/>
  <c r="L73"/>
  <c r="M73"/>
  <c r="N73"/>
  <c r="O73"/>
  <c r="C75"/>
  <c r="D75"/>
  <c r="E75"/>
  <c r="F75"/>
  <c r="G75"/>
  <c r="H75"/>
  <c r="I75"/>
  <c r="J75"/>
  <c r="K75"/>
  <c r="L75"/>
  <c r="M75"/>
  <c r="N75"/>
  <c r="O75"/>
  <c r="P75"/>
  <c r="O82"/>
  <c r="O83"/>
  <c r="O84"/>
  <c r="O85"/>
  <c r="O86"/>
  <c r="O87"/>
  <c r="O88"/>
  <c r="O89"/>
  <c r="O90"/>
  <c r="O91"/>
  <c r="O92"/>
  <c r="O93"/>
  <c r="O94"/>
  <c r="C95"/>
  <c r="D95"/>
  <c r="E95"/>
  <c r="F95"/>
  <c r="G95"/>
  <c r="H95"/>
  <c r="I95"/>
  <c r="J95"/>
  <c r="K95"/>
  <c r="L95"/>
  <c r="M95"/>
  <c r="N95"/>
  <c r="O95"/>
  <c r="P95"/>
  <c r="O98"/>
  <c r="O99"/>
  <c r="C101"/>
  <c r="D101"/>
  <c r="E101"/>
  <c r="F101"/>
  <c r="G101"/>
  <c r="H101"/>
  <c r="I101"/>
  <c r="J101"/>
  <c r="K101"/>
  <c r="L101"/>
  <c r="M101"/>
  <c r="N101"/>
  <c r="O101"/>
  <c r="P101"/>
  <c r="C103"/>
  <c r="D103"/>
  <c r="E103"/>
  <c r="F103"/>
  <c r="G103"/>
  <c r="H103"/>
  <c r="I103"/>
  <c r="J103"/>
  <c r="K103"/>
  <c r="L103"/>
  <c r="M103"/>
  <c r="N103"/>
  <c r="O103"/>
  <c r="P103"/>
  <c r="C105"/>
  <c r="D105"/>
  <c r="E105"/>
  <c r="F105"/>
  <c r="G105"/>
  <c r="H105"/>
  <c r="I105"/>
  <c r="J105"/>
  <c r="K105"/>
  <c r="L105"/>
  <c r="M105"/>
  <c r="N105"/>
  <c r="O105"/>
  <c r="O172"/>
  <c r="D173"/>
  <c r="E173"/>
  <c r="O173"/>
  <c r="E174"/>
  <c r="F174"/>
  <c r="O174"/>
  <c r="F175"/>
  <c r="G175"/>
  <c r="O175"/>
  <c r="G176"/>
  <c r="H176"/>
  <c r="O176"/>
  <c r="H177"/>
  <c r="I177"/>
  <c r="O177"/>
  <c r="I178"/>
  <c r="J178"/>
  <c r="O178"/>
  <c r="J179"/>
  <c r="K179"/>
  <c r="O179"/>
  <c r="K180"/>
  <c r="L180"/>
  <c r="O180"/>
  <c r="L181"/>
  <c r="M181"/>
  <c r="O181"/>
  <c r="M182"/>
  <c r="N182"/>
  <c r="O182"/>
  <c r="N183"/>
  <c r="O183"/>
  <c r="O184"/>
  <c r="C186"/>
  <c r="D186"/>
  <c r="E186"/>
  <c r="F186"/>
  <c r="G186"/>
  <c r="H186"/>
  <c r="I186"/>
  <c r="J186"/>
  <c r="K186"/>
  <c r="L186"/>
  <c r="M186"/>
  <c r="N186"/>
  <c r="O186"/>
  <c r="P186"/>
  <c r="C191"/>
  <c r="C192"/>
  <c r="D194"/>
  <c r="E194"/>
  <c r="F194"/>
  <c r="G194"/>
  <c r="H194"/>
  <c r="I194"/>
  <c r="J194"/>
  <c r="K194"/>
  <c r="L194"/>
  <c r="M194"/>
  <c r="N194"/>
  <c r="O194"/>
  <c r="C195"/>
  <c r="D195"/>
  <c r="E195"/>
  <c r="F195"/>
  <c r="G195"/>
  <c r="H195"/>
  <c r="I195"/>
  <c r="J195"/>
  <c r="K195"/>
  <c r="L195"/>
  <c r="M195"/>
  <c r="N195"/>
  <c r="O195"/>
  <c r="C202"/>
  <c r="D202"/>
  <c r="E202"/>
  <c r="F202"/>
  <c r="G202"/>
  <c r="H202"/>
  <c r="I202"/>
  <c r="J202"/>
  <c r="K202"/>
  <c r="L202"/>
  <c r="M202"/>
  <c r="N202"/>
  <c r="O202"/>
  <c r="C203"/>
  <c r="D203"/>
  <c r="E203"/>
  <c r="F203"/>
  <c r="G203"/>
  <c r="H203"/>
  <c r="I203"/>
  <c r="J203"/>
  <c r="K203"/>
  <c r="L203"/>
  <c r="M203"/>
  <c r="N203"/>
  <c r="O203"/>
  <c r="C204"/>
  <c r="D204"/>
  <c r="E204"/>
  <c r="F204"/>
  <c r="G204"/>
  <c r="H204"/>
  <c r="I204"/>
  <c r="J204"/>
  <c r="K204"/>
  <c r="L204"/>
  <c r="M204"/>
  <c r="N204"/>
  <c r="O204"/>
  <c r="C205"/>
  <c r="D205"/>
  <c r="E205"/>
  <c r="F205"/>
  <c r="G205"/>
  <c r="H205"/>
  <c r="I205"/>
  <c r="J205"/>
  <c r="K205"/>
  <c r="L205"/>
  <c r="M205"/>
  <c r="N205"/>
  <c r="C206"/>
  <c r="D206"/>
  <c r="E206"/>
  <c r="F206"/>
  <c r="G206"/>
  <c r="H206"/>
  <c r="I206"/>
  <c r="J206"/>
  <c r="K206"/>
  <c r="L206"/>
  <c r="M206"/>
  <c r="N206"/>
  <c r="O206"/>
  <c r="O207"/>
  <c r="O208"/>
  <c r="C209"/>
  <c r="D209"/>
  <c r="E209"/>
  <c r="F209"/>
  <c r="G209"/>
  <c r="H209"/>
  <c r="I209"/>
  <c r="J209"/>
  <c r="K209"/>
  <c r="L209"/>
  <c r="M209"/>
  <c r="N209"/>
  <c r="O209"/>
  <c r="C210"/>
  <c r="D210"/>
  <c r="E210"/>
  <c r="F210"/>
  <c r="G210"/>
  <c r="H210"/>
  <c r="I210"/>
  <c r="J210"/>
  <c r="K210"/>
  <c r="L210"/>
  <c r="M210"/>
  <c r="N210"/>
  <c r="O210"/>
  <c r="O211"/>
  <c r="O212"/>
  <c r="C213"/>
  <c r="D213"/>
  <c r="E213"/>
  <c r="F213"/>
  <c r="G213"/>
  <c r="H213"/>
  <c r="I213"/>
  <c r="J213"/>
  <c r="K213"/>
  <c r="L213"/>
  <c r="M213"/>
  <c r="N213"/>
  <c r="O213"/>
  <c r="P213"/>
  <c r="O216"/>
  <c r="C217"/>
  <c r="D217"/>
  <c r="O217"/>
  <c r="D218"/>
  <c r="E218"/>
  <c r="O218"/>
  <c r="E219"/>
  <c r="F219"/>
  <c r="O219"/>
  <c r="F220"/>
  <c r="G220"/>
  <c r="O220"/>
  <c r="G221"/>
  <c r="H221"/>
  <c r="O221"/>
  <c r="H222"/>
  <c r="I222"/>
  <c r="O222"/>
  <c r="I223"/>
  <c r="J223"/>
  <c r="O223"/>
  <c r="J224"/>
  <c r="K224"/>
  <c r="O224"/>
  <c r="K225"/>
  <c r="L225"/>
  <c r="O225"/>
  <c r="L226"/>
  <c r="M226"/>
  <c r="O226"/>
  <c r="M227"/>
  <c r="N227"/>
  <c r="O227"/>
  <c r="N228"/>
  <c r="O228"/>
  <c r="C230"/>
  <c r="D230"/>
  <c r="E230"/>
  <c r="F230"/>
  <c r="G230"/>
  <c r="H230"/>
  <c r="I230"/>
  <c r="J230"/>
  <c r="K230"/>
  <c r="L230"/>
  <c r="M230"/>
  <c r="N230"/>
  <c r="O230"/>
  <c r="P230"/>
  <c r="C235"/>
  <c r="D235"/>
  <c r="E235"/>
  <c r="F235"/>
  <c r="G235"/>
  <c r="H235"/>
  <c r="I235"/>
  <c r="J235"/>
  <c r="K235"/>
  <c r="L235"/>
  <c r="M235"/>
  <c r="N235"/>
  <c r="O235"/>
  <c r="P235"/>
  <c r="O237"/>
  <c r="O238"/>
  <c r="D239"/>
  <c r="E239"/>
  <c r="O239"/>
  <c r="E240"/>
  <c r="F240"/>
  <c r="O240"/>
  <c r="F241"/>
  <c r="G241"/>
  <c r="O241"/>
  <c r="G242"/>
  <c r="H242"/>
  <c r="O242"/>
  <c r="H243"/>
  <c r="I243"/>
  <c r="O243"/>
  <c r="I244"/>
  <c r="J244"/>
  <c r="O244"/>
  <c r="J245"/>
  <c r="K245"/>
  <c r="O245"/>
  <c r="K246"/>
  <c r="L246"/>
  <c r="O246"/>
  <c r="L247"/>
  <c r="M247"/>
  <c r="O247"/>
  <c r="M248"/>
  <c r="N248"/>
  <c r="O248"/>
  <c r="O249"/>
  <c r="C251"/>
  <c r="D251"/>
  <c r="E251"/>
  <c r="F251"/>
  <c r="G251"/>
  <c r="H251"/>
  <c r="I251"/>
  <c r="J251"/>
  <c r="K251"/>
  <c r="L251"/>
  <c r="M251"/>
  <c r="N251"/>
  <c r="O251"/>
  <c r="P251"/>
  <c r="C262"/>
  <c r="D262"/>
  <c r="E262"/>
  <c r="F262"/>
  <c r="G262"/>
  <c r="H262"/>
  <c r="I262"/>
  <c r="J262"/>
  <c r="K262"/>
  <c r="L262"/>
  <c r="M262"/>
  <c r="N262"/>
  <c r="O262"/>
  <c r="P262"/>
  <c r="Q262"/>
  <c r="B5" i="24"/>
  <c r="C5"/>
  <c r="D5"/>
  <c r="E5"/>
  <c r="F5"/>
  <c r="G5"/>
  <c r="H5"/>
  <c r="I5"/>
  <c r="J5"/>
  <c r="B9"/>
  <c r="C9"/>
  <c r="D9"/>
  <c r="E9"/>
  <c r="F9"/>
  <c r="G9"/>
  <c r="H9"/>
  <c r="I9"/>
  <c r="J9"/>
  <c r="B14"/>
  <c r="C14"/>
  <c r="E14"/>
  <c r="F14"/>
  <c r="G14"/>
  <c r="I14"/>
  <c r="J14"/>
  <c r="E16"/>
  <c r="F16"/>
  <c r="B17"/>
  <c r="C17"/>
  <c r="D17"/>
  <c r="E17"/>
  <c r="F17"/>
  <c r="G17"/>
  <c r="H17"/>
  <c r="I17"/>
  <c r="L17"/>
  <c r="E19"/>
  <c r="I19"/>
  <c r="L19"/>
  <c r="I23"/>
  <c r="I28"/>
  <c r="I29"/>
  <c r="P7" i="13"/>
  <c r="F8"/>
  <c r="J23"/>
  <c r="K23"/>
  <c r="L23"/>
  <c r="M23"/>
  <c r="D24"/>
  <c r="K24"/>
  <c r="D36"/>
  <c r="E36"/>
  <c r="F36"/>
  <c r="P45"/>
  <c r="F46"/>
  <c r="L48"/>
  <c r="M48"/>
  <c r="N48"/>
  <c r="O48"/>
  <c r="D49"/>
  <c r="E49"/>
  <c r="F49"/>
  <c r="G49"/>
  <c r="H49"/>
  <c r="I49"/>
  <c r="J49"/>
  <c r="K49"/>
  <c r="L49"/>
  <c r="M49"/>
  <c r="N49"/>
  <c r="O49"/>
  <c r="P49"/>
  <c r="D50"/>
  <c r="E50"/>
  <c r="F50"/>
  <c r="G50"/>
  <c r="H50"/>
  <c r="I50"/>
  <c r="J50"/>
  <c r="K50"/>
  <c r="L50"/>
  <c r="M50"/>
  <c r="N50"/>
  <c r="O50"/>
  <c r="P50"/>
  <c r="D51"/>
  <c r="E51"/>
  <c r="F51"/>
  <c r="G51"/>
  <c r="H51"/>
  <c r="I51"/>
  <c r="J51"/>
  <c r="K51"/>
  <c r="L51"/>
  <c r="M51"/>
  <c r="N51"/>
  <c r="O51"/>
  <c r="P51"/>
  <c r="D52"/>
  <c r="E52"/>
  <c r="F52"/>
  <c r="G52"/>
  <c r="H52"/>
  <c r="I52"/>
  <c r="J52"/>
  <c r="K52"/>
  <c r="L52"/>
  <c r="M52"/>
  <c r="N52"/>
  <c r="O52"/>
  <c r="P52"/>
  <c r="J61"/>
  <c r="K61"/>
  <c r="L61"/>
  <c r="M61"/>
  <c r="D62"/>
  <c r="D63"/>
  <c r="E63"/>
  <c r="F63"/>
  <c r="G63"/>
  <c r="H63"/>
  <c r="I63"/>
  <c r="J63"/>
  <c r="K63"/>
  <c r="L63"/>
  <c r="M63"/>
  <c r="N63"/>
  <c r="O63"/>
  <c r="P63"/>
  <c r="D64"/>
  <c r="E64"/>
  <c r="F64"/>
  <c r="G64"/>
  <c r="H64"/>
  <c r="I64"/>
  <c r="J64"/>
  <c r="K64"/>
  <c r="L64"/>
  <c r="M64"/>
  <c r="N64"/>
  <c r="O64"/>
  <c r="P64"/>
  <c r="D65"/>
  <c r="E65"/>
  <c r="F65"/>
  <c r="G65"/>
  <c r="H65"/>
  <c r="I65"/>
  <c r="J65"/>
  <c r="K65"/>
  <c r="L65"/>
  <c r="M65"/>
  <c r="N65"/>
  <c r="O65"/>
  <c r="P65"/>
  <c r="D74"/>
  <c r="E74"/>
  <c r="F74"/>
  <c r="D75"/>
  <c r="E75"/>
  <c r="F75"/>
  <c r="G75"/>
  <c r="H75"/>
  <c r="I75"/>
  <c r="J75"/>
  <c r="K75"/>
  <c r="L75"/>
  <c r="M75"/>
  <c r="N75"/>
  <c r="O75"/>
  <c r="P75"/>
  <c r="E83"/>
  <c r="F83"/>
  <c r="G83"/>
  <c r="H83"/>
  <c r="I83"/>
  <c r="J83"/>
  <c r="K83"/>
  <c r="L83"/>
  <c r="M83"/>
  <c r="N83"/>
  <c r="O83"/>
  <c r="P83"/>
  <c r="D84"/>
  <c r="E84"/>
  <c r="F84"/>
  <c r="G84"/>
  <c r="H84"/>
  <c r="I84"/>
  <c r="J84"/>
  <c r="K84"/>
  <c r="L84"/>
  <c r="M84"/>
  <c r="N84"/>
  <c r="O84"/>
  <c r="P84"/>
  <c r="Q84"/>
  <c r="R84"/>
  <c r="D85"/>
  <c r="E85"/>
  <c r="F85"/>
  <c r="G85"/>
  <c r="H85"/>
  <c r="I85"/>
  <c r="J85"/>
  <c r="K85"/>
  <c r="L85"/>
  <c r="M85"/>
  <c r="N85"/>
  <c r="O85"/>
  <c r="P85"/>
  <c r="Q85"/>
  <c r="R85"/>
  <c r="D86"/>
  <c r="E86"/>
  <c r="F86"/>
  <c r="G86"/>
  <c r="H86"/>
  <c r="I86"/>
  <c r="J86"/>
  <c r="K86"/>
  <c r="L86"/>
  <c r="M86"/>
  <c r="N86"/>
  <c r="O86"/>
  <c r="P86"/>
  <c r="Q86"/>
  <c r="R86"/>
  <c r="D87"/>
  <c r="E87"/>
  <c r="F87"/>
  <c r="G87"/>
  <c r="H87"/>
  <c r="I87"/>
  <c r="J87"/>
  <c r="K87"/>
  <c r="L87"/>
  <c r="M87"/>
  <c r="N87"/>
  <c r="O87"/>
  <c r="P87"/>
  <c r="Q87"/>
  <c r="R87"/>
  <c r="Q88"/>
  <c r="R88"/>
  <c r="Q89"/>
  <c r="R89"/>
  <c r="Q90"/>
  <c r="R90"/>
  <c r="D91"/>
  <c r="E91"/>
  <c r="F91"/>
  <c r="G91"/>
  <c r="H91"/>
  <c r="I91"/>
  <c r="J91"/>
  <c r="K91"/>
  <c r="L91"/>
  <c r="M91"/>
  <c r="N91"/>
  <c r="O91"/>
  <c r="P91"/>
  <c r="Q91"/>
  <c r="R91"/>
  <c r="D92"/>
  <c r="E92"/>
  <c r="F92"/>
  <c r="G92"/>
  <c r="H92"/>
  <c r="I92"/>
  <c r="J92"/>
  <c r="K92"/>
  <c r="L92"/>
  <c r="M92"/>
  <c r="N92"/>
  <c r="O92"/>
  <c r="P92"/>
  <c r="Q92"/>
  <c r="R92"/>
  <c r="D93"/>
  <c r="E93"/>
  <c r="F93"/>
  <c r="G93"/>
  <c r="H93"/>
  <c r="I93"/>
  <c r="J93"/>
  <c r="K93"/>
  <c r="L93"/>
  <c r="M93"/>
  <c r="N93"/>
  <c r="O93"/>
  <c r="P93"/>
  <c r="Q93"/>
  <c r="R93"/>
  <c r="D94"/>
  <c r="E94"/>
  <c r="F94"/>
  <c r="G94"/>
  <c r="H94"/>
  <c r="I94"/>
  <c r="J94"/>
  <c r="K94"/>
  <c r="L94"/>
  <c r="M94"/>
  <c r="N94"/>
  <c r="O94"/>
  <c r="P94"/>
  <c r="Q94"/>
  <c r="R94"/>
  <c r="D95"/>
  <c r="E95"/>
  <c r="F95"/>
  <c r="G95"/>
  <c r="H95"/>
  <c r="I95"/>
  <c r="J95"/>
  <c r="K95"/>
  <c r="L95"/>
  <c r="M95"/>
  <c r="N95"/>
  <c r="O95"/>
  <c r="P95"/>
  <c r="Q95"/>
  <c r="R95"/>
  <c r="D96"/>
  <c r="E96"/>
  <c r="F96"/>
  <c r="G96"/>
  <c r="H96"/>
  <c r="I96"/>
  <c r="J96"/>
  <c r="K96"/>
  <c r="L96"/>
  <c r="M96"/>
  <c r="N96"/>
  <c r="O96"/>
  <c r="P96"/>
  <c r="Q96"/>
  <c r="R96"/>
  <c r="D97"/>
  <c r="E97"/>
  <c r="F97"/>
  <c r="G97"/>
  <c r="H97"/>
  <c r="I97"/>
  <c r="J97"/>
  <c r="K97"/>
  <c r="L97"/>
  <c r="M97"/>
  <c r="N97"/>
  <c r="O97"/>
  <c r="P97"/>
  <c r="Q97"/>
  <c r="R97"/>
  <c r="D98"/>
  <c r="E98"/>
  <c r="F98"/>
  <c r="G98"/>
  <c r="H98"/>
  <c r="I98"/>
  <c r="J98"/>
  <c r="K98"/>
  <c r="L98"/>
  <c r="M98"/>
  <c r="N98"/>
  <c r="O98"/>
  <c r="P98"/>
  <c r="Q98"/>
  <c r="R98"/>
  <c r="D99"/>
  <c r="E99"/>
  <c r="F99"/>
  <c r="G99"/>
  <c r="L99"/>
  <c r="M99"/>
  <c r="N99"/>
  <c r="O99"/>
  <c r="R99"/>
  <c r="D100"/>
  <c r="E100"/>
  <c r="F100"/>
  <c r="G100"/>
  <c r="H100"/>
  <c r="I100"/>
  <c r="J100"/>
  <c r="K100"/>
  <c r="L100"/>
  <c r="M100"/>
  <c r="N100"/>
  <c r="O100"/>
  <c r="P100"/>
  <c r="Q100"/>
  <c r="R100"/>
  <c r="Q101"/>
  <c r="Q102"/>
  <c r="Q103"/>
  <c r="D104"/>
  <c r="E104"/>
  <c r="F104"/>
  <c r="G104"/>
  <c r="H104"/>
  <c r="I104"/>
  <c r="J104"/>
  <c r="K104"/>
  <c r="L104"/>
  <c r="M104"/>
  <c r="N104"/>
  <c r="O104"/>
  <c r="P104"/>
  <c r="Q104"/>
  <c r="R104"/>
  <c r="D105"/>
  <c r="E105"/>
  <c r="F105"/>
  <c r="G105"/>
  <c r="H105"/>
  <c r="I105"/>
  <c r="J105"/>
  <c r="K105"/>
  <c r="L105"/>
  <c r="M105"/>
  <c r="N105"/>
  <c r="O105"/>
  <c r="P105"/>
  <c r="Q105"/>
  <c r="R105"/>
  <c r="D106"/>
  <c r="E106"/>
  <c r="F106"/>
  <c r="G106"/>
  <c r="H106"/>
  <c r="I106"/>
  <c r="J106"/>
  <c r="K106"/>
  <c r="L106"/>
  <c r="M106"/>
  <c r="N106"/>
  <c r="O106"/>
  <c r="P106"/>
  <c r="Q106"/>
  <c r="R106"/>
  <c r="D107"/>
  <c r="E107"/>
  <c r="F107"/>
  <c r="G107"/>
  <c r="H107"/>
  <c r="I107"/>
  <c r="J107"/>
  <c r="K107"/>
  <c r="L107"/>
  <c r="M107"/>
  <c r="N107"/>
  <c r="O107"/>
  <c r="P107"/>
  <c r="Q107"/>
  <c r="R107"/>
  <c r="D108"/>
  <c r="E108"/>
  <c r="F108"/>
  <c r="G108"/>
  <c r="H108"/>
  <c r="I108"/>
  <c r="J108"/>
  <c r="K108"/>
  <c r="L108"/>
  <c r="M108"/>
  <c r="N108"/>
  <c r="O108"/>
  <c r="P108"/>
  <c r="Q108"/>
  <c r="R108"/>
  <c r="D109"/>
  <c r="E109"/>
  <c r="F109"/>
  <c r="G109"/>
  <c r="H109"/>
  <c r="I109"/>
  <c r="J109"/>
  <c r="K109"/>
  <c r="L109"/>
  <c r="M109"/>
  <c r="N109"/>
  <c r="O109"/>
  <c r="P109"/>
  <c r="Q109"/>
  <c r="R109"/>
  <c r="D110"/>
  <c r="E110"/>
  <c r="F110"/>
  <c r="G110"/>
  <c r="H110"/>
  <c r="I110"/>
  <c r="J110"/>
  <c r="K110"/>
  <c r="L110"/>
  <c r="M110"/>
  <c r="N110"/>
  <c r="O110"/>
  <c r="P110"/>
  <c r="Q110"/>
  <c r="R110"/>
  <c r="D111"/>
  <c r="E111"/>
  <c r="F111"/>
  <c r="G111"/>
  <c r="H111"/>
  <c r="I111"/>
  <c r="J111"/>
  <c r="K111"/>
  <c r="L111"/>
  <c r="M111"/>
  <c r="N111"/>
  <c r="O111"/>
  <c r="P111"/>
  <c r="Q111"/>
  <c r="R111"/>
  <c r="G112"/>
  <c r="H112"/>
  <c r="I112"/>
  <c r="J112"/>
  <c r="K112"/>
  <c r="L112"/>
  <c r="M112"/>
  <c r="N112"/>
  <c r="O112"/>
  <c r="P112"/>
  <c r="E113"/>
  <c r="F113"/>
  <c r="G113"/>
  <c r="H113"/>
  <c r="I113"/>
  <c r="J113"/>
  <c r="K113"/>
  <c r="L113"/>
  <c r="M113"/>
  <c r="N113"/>
  <c r="O113"/>
  <c r="P113"/>
  <c r="D115"/>
  <c r="F9" i="3" s="1"/>
  <c r="E115" i="13"/>
  <c r="G9" i="3" s="1"/>
  <c r="F115" i="13"/>
  <c r="H9" i="3" s="1"/>
  <c r="G115" i="13"/>
  <c r="I9" i="3" s="1"/>
  <c r="L115" i="13"/>
  <c r="N9" i="3" s="1"/>
  <c r="M115" i="13"/>
  <c r="O9" i="3" s="1"/>
  <c r="N115" i="13"/>
  <c r="P9" i="3" s="1"/>
  <c r="O115" i="13"/>
  <c r="Q9" i="3" s="1"/>
  <c r="Q115" i="13"/>
  <c r="R115"/>
  <c r="E122"/>
  <c r="F122"/>
  <c r="G122"/>
  <c r="H122"/>
  <c r="I122"/>
  <c r="J122"/>
  <c r="K122"/>
  <c r="L122"/>
  <c r="M122"/>
  <c r="N122"/>
  <c r="O122"/>
  <c r="P122"/>
  <c r="D123"/>
  <c r="E123"/>
  <c r="F123"/>
  <c r="G123"/>
  <c r="H123"/>
  <c r="I123"/>
  <c r="J123"/>
  <c r="K123"/>
  <c r="L123"/>
  <c r="M123"/>
  <c r="N123"/>
  <c r="O123"/>
  <c r="P123"/>
  <c r="D124"/>
  <c r="E124"/>
  <c r="F124"/>
  <c r="G124"/>
  <c r="H124"/>
  <c r="I124"/>
  <c r="J124"/>
  <c r="K124"/>
  <c r="L124"/>
  <c r="M124"/>
  <c r="N124"/>
  <c r="O124"/>
  <c r="P124"/>
  <c r="D125"/>
  <c r="E125"/>
  <c r="F125"/>
  <c r="G125"/>
  <c r="H125"/>
  <c r="I125"/>
  <c r="J125"/>
  <c r="K125"/>
  <c r="L125"/>
  <c r="M125"/>
  <c r="N125"/>
  <c r="O125"/>
  <c r="P125"/>
  <c r="R130"/>
  <c r="D130" s="1"/>
  <c r="D131"/>
  <c r="E131"/>
  <c r="F131"/>
  <c r="G131"/>
  <c r="H131"/>
  <c r="I131"/>
  <c r="J131"/>
  <c r="K131"/>
  <c r="L131"/>
  <c r="M131"/>
  <c r="N131"/>
  <c r="O131"/>
  <c r="P131"/>
  <c r="D132"/>
  <c r="E132"/>
  <c r="F132"/>
  <c r="G132"/>
  <c r="H132"/>
  <c r="I132"/>
  <c r="J132"/>
  <c r="K132"/>
  <c r="L132"/>
  <c r="M132"/>
  <c r="N132"/>
  <c r="O132"/>
  <c r="P132"/>
  <c r="D133"/>
  <c r="E133"/>
  <c r="F133"/>
  <c r="G133"/>
  <c r="H133"/>
  <c r="I133"/>
  <c r="J133"/>
  <c r="K133"/>
  <c r="L133"/>
  <c r="M133"/>
  <c r="N133"/>
  <c r="O133"/>
  <c r="P133"/>
  <c r="D134"/>
  <c r="E134"/>
  <c r="F134"/>
  <c r="G134"/>
  <c r="H134"/>
  <c r="I134"/>
  <c r="J134"/>
  <c r="K134"/>
  <c r="L134"/>
  <c r="M134"/>
  <c r="N134"/>
  <c r="O134"/>
  <c r="P134"/>
  <c r="D135"/>
  <c r="E135"/>
  <c r="F135"/>
  <c r="G135"/>
  <c r="H135"/>
  <c r="I135"/>
  <c r="J135"/>
  <c r="K135"/>
  <c r="L135"/>
  <c r="M135"/>
  <c r="N135"/>
  <c r="O135"/>
  <c r="P135"/>
  <c r="D136"/>
  <c r="E136"/>
  <c r="F136"/>
  <c r="G136"/>
  <c r="H136"/>
  <c r="I136"/>
  <c r="J136"/>
  <c r="K136"/>
  <c r="L136"/>
  <c r="M136"/>
  <c r="N136"/>
  <c r="O136"/>
  <c r="P136"/>
  <c r="D137"/>
  <c r="E137"/>
  <c r="F137"/>
  <c r="G137"/>
  <c r="H137"/>
  <c r="I137"/>
  <c r="J137"/>
  <c r="K137"/>
  <c r="L137"/>
  <c r="M137"/>
  <c r="N137"/>
  <c r="O137"/>
  <c r="P137"/>
  <c r="E138"/>
  <c r="F138"/>
  <c r="G138"/>
  <c r="H138"/>
  <c r="I138"/>
  <c r="J138"/>
  <c r="K138"/>
  <c r="L138"/>
  <c r="M138"/>
  <c r="N138"/>
  <c r="O138"/>
  <c r="P138"/>
  <c r="D139"/>
  <c r="E139"/>
  <c r="F139"/>
  <c r="G139"/>
  <c r="H139"/>
  <c r="I139"/>
  <c r="J139"/>
  <c r="K139"/>
  <c r="L139"/>
  <c r="M139"/>
  <c r="N139"/>
  <c r="O139"/>
  <c r="P142"/>
  <c r="D143"/>
  <c r="E143"/>
  <c r="F143"/>
  <c r="G143"/>
  <c r="H143"/>
  <c r="I143"/>
  <c r="J143"/>
  <c r="K143"/>
  <c r="L143"/>
  <c r="M143"/>
  <c r="N143"/>
  <c r="O143"/>
  <c r="P143"/>
  <c r="D144"/>
  <c r="E144"/>
  <c r="F144"/>
  <c r="G144"/>
  <c r="H144"/>
  <c r="I144"/>
  <c r="J144"/>
  <c r="K144"/>
  <c r="L144"/>
  <c r="M144"/>
  <c r="N144"/>
  <c r="O144"/>
  <c r="P144"/>
  <c r="D145"/>
  <c r="E145"/>
  <c r="F145"/>
  <c r="G145"/>
  <c r="H145"/>
  <c r="I145"/>
  <c r="J145"/>
  <c r="K145"/>
  <c r="L145"/>
  <c r="M145"/>
  <c r="N145"/>
  <c r="O145"/>
  <c r="P145"/>
  <c r="D146"/>
  <c r="E146"/>
  <c r="F146"/>
  <c r="G146"/>
  <c r="H146"/>
  <c r="I146"/>
  <c r="J146"/>
  <c r="K146"/>
  <c r="L146"/>
  <c r="M146"/>
  <c r="N146"/>
  <c r="O146"/>
  <c r="P146"/>
  <c r="D147"/>
  <c r="E147"/>
  <c r="F147"/>
  <c r="G147"/>
  <c r="H147"/>
  <c r="I147"/>
  <c r="J147"/>
  <c r="K147"/>
  <c r="L147"/>
  <c r="M147"/>
  <c r="N147"/>
  <c r="O147"/>
  <c r="P147"/>
  <c r="D148"/>
  <c r="E148"/>
  <c r="F148"/>
  <c r="G148"/>
  <c r="H148"/>
  <c r="I148"/>
  <c r="J148"/>
  <c r="K148"/>
  <c r="L148"/>
  <c r="M148"/>
  <c r="N148"/>
  <c r="O148"/>
  <c r="P148"/>
  <c r="D149"/>
  <c r="E149"/>
  <c r="F149"/>
  <c r="G149"/>
  <c r="H149"/>
  <c r="I149"/>
  <c r="J149"/>
  <c r="K149"/>
  <c r="L149"/>
  <c r="M149"/>
  <c r="N149"/>
  <c r="O149"/>
  <c r="P149"/>
  <c r="D150"/>
  <c r="E150"/>
  <c r="F150"/>
  <c r="G150"/>
  <c r="H150"/>
  <c r="I150"/>
  <c r="J150"/>
  <c r="K150"/>
  <c r="L150"/>
  <c r="M150"/>
  <c r="N150"/>
  <c r="O150"/>
  <c r="P150"/>
  <c r="H151"/>
  <c r="I151"/>
  <c r="J151"/>
  <c r="K151"/>
  <c r="L151"/>
  <c r="M151"/>
  <c r="N151"/>
  <c r="O151"/>
  <c r="P151"/>
  <c r="P153"/>
  <c r="P162"/>
  <c r="P163"/>
  <c r="P170"/>
  <c r="P171"/>
  <c r="P172"/>
  <c r="P173"/>
  <c r="P174"/>
  <c r="P181"/>
  <c r="P182"/>
  <c r="P183"/>
  <c r="P184"/>
  <c r="P185"/>
  <c r="P186"/>
  <c r="P187"/>
  <c r="D191"/>
  <c r="C8" i="22" s="1"/>
  <c r="E191" i="13"/>
  <c r="D8" i="22" s="1"/>
  <c r="F191" i="13"/>
  <c r="E8" i="22" s="1"/>
  <c r="G191" i="13"/>
  <c r="F8" i="22" s="1"/>
  <c r="H191" i="13"/>
  <c r="G8" i="22" s="1"/>
  <c r="I191" i="13"/>
  <c r="H8" i="21" s="1"/>
  <c r="J191" i="13"/>
  <c r="I8" i="21" s="1"/>
  <c r="K191" i="13"/>
  <c r="J8" i="21" s="1"/>
  <c r="L191" i="13"/>
  <c r="K8" i="21" s="1"/>
  <c r="M191" i="13"/>
  <c r="L8" i="21" s="1"/>
  <c r="N191" i="13"/>
  <c r="M8" i="21" s="1"/>
  <c r="O191" i="13"/>
  <c r="N8" i="21" s="1"/>
  <c r="P191" i="13"/>
  <c r="P198"/>
  <c r="P199"/>
  <c r="P200"/>
  <c r="P201"/>
  <c r="P202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D228"/>
  <c r="C9" i="22" s="1"/>
  <c r="E228" i="13"/>
  <c r="D9" i="22" s="1"/>
  <c r="F228" i="13"/>
  <c r="E9" i="22" s="1"/>
  <c r="G228" i="13"/>
  <c r="F9" i="22" s="1"/>
  <c r="H228" i="13"/>
  <c r="G9" i="22" s="1"/>
  <c r="I228" i="13"/>
  <c r="H9" i="21" s="1"/>
  <c r="J228" i="13"/>
  <c r="I9" i="21" s="1"/>
  <c r="K228" i="13"/>
  <c r="J9" i="21" s="1"/>
  <c r="L228" i="13"/>
  <c r="K9" i="21" s="1"/>
  <c r="M228" i="13"/>
  <c r="L9" i="21" s="1"/>
  <c r="N228" i="13"/>
  <c r="M9" i="21" s="1"/>
  <c r="O228" i="13"/>
  <c r="N9" i="21" s="1"/>
  <c r="P228" i="13"/>
  <c r="H6" i="6"/>
  <c r="N6"/>
  <c r="Q6"/>
  <c r="R6"/>
  <c r="S6"/>
  <c r="T6"/>
  <c r="U6"/>
  <c r="V6"/>
  <c r="W6"/>
  <c r="X6"/>
  <c r="Y6"/>
  <c r="Z6"/>
  <c r="H7"/>
  <c r="N7"/>
  <c r="O7"/>
  <c r="D8" i="13" s="1"/>
  <c r="P7" i="6"/>
  <c r="E8" i="13" s="1"/>
  <c r="R7" i="6"/>
  <c r="G8" i="13" s="1"/>
  <c r="S7" i="6"/>
  <c r="H8" i="13" s="1"/>
  <c r="T7" i="6"/>
  <c r="I8" i="13" s="1"/>
  <c r="U7" i="6"/>
  <c r="J8" i="13" s="1"/>
  <c r="V7" i="6"/>
  <c r="K8" i="13" s="1"/>
  <c r="W7" i="6"/>
  <c r="L8" i="13" s="1"/>
  <c r="X7" i="6"/>
  <c r="M8" i="13" s="1"/>
  <c r="Y7" i="6"/>
  <c r="N8" i="13" s="1"/>
  <c r="Z7" i="6"/>
  <c r="O8" i="13" s="1"/>
  <c r="AD7" i="6"/>
  <c r="AE7"/>
  <c r="H8"/>
  <c r="N8"/>
  <c r="O8"/>
  <c r="D9" i="13" s="1"/>
  <c r="P8" i="6"/>
  <c r="E9" i="13" s="1"/>
  <c r="E47" s="1"/>
  <c r="Q8" i="6"/>
  <c r="F9" i="13" s="1"/>
  <c r="R8" i="6"/>
  <c r="G9" i="13" s="1"/>
  <c r="G47" s="1"/>
  <c r="S8" i="6"/>
  <c r="H9" i="13" s="1"/>
  <c r="H47" s="1"/>
  <c r="T8" i="6"/>
  <c r="I9" i="13" s="1"/>
  <c r="I47" s="1"/>
  <c r="U8" i="6"/>
  <c r="J9" i="13" s="1"/>
  <c r="J47" s="1"/>
  <c r="V8" i="6"/>
  <c r="K9" i="13" s="1"/>
  <c r="K47" s="1"/>
  <c r="W8" i="6"/>
  <c r="L9" i="13" s="1"/>
  <c r="L47" s="1"/>
  <c r="X8" i="6"/>
  <c r="M9" i="13" s="1"/>
  <c r="M47" s="1"/>
  <c r="Y8" i="6"/>
  <c r="N9" i="13" s="1"/>
  <c r="N47" s="1"/>
  <c r="Z8" i="6"/>
  <c r="O9" i="13" s="1"/>
  <c r="O47" s="1"/>
  <c r="AD8" i="6"/>
  <c r="AE8"/>
  <c r="H9"/>
  <c r="N9"/>
  <c r="O9"/>
  <c r="D10" i="13" s="1"/>
  <c r="P9" i="6"/>
  <c r="E10" i="13" s="1"/>
  <c r="E48" s="1"/>
  <c r="Q9" i="6"/>
  <c r="F10" i="13" s="1"/>
  <c r="F48" s="1"/>
  <c r="R9" i="6"/>
  <c r="G10" i="13" s="1"/>
  <c r="G48" s="1"/>
  <c r="S9" i="6"/>
  <c r="H10" i="13" s="1"/>
  <c r="H48" s="1"/>
  <c r="T9" i="6"/>
  <c r="I10" i="13" s="1"/>
  <c r="I48" s="1"/>
  <c r="U9" i="6"/>
  <c r="J10" i="13" s="1"/>
  <c r="J48" s="1"/>
  <c r="V9" i="6"/>
  <c r="K10" i="13" s="1"/>
  <c r="K48" s="1"/>
  <c r="W9" i="6"/>
  <c r="X9"/>
  <c r="Y9"/>
  <c r="Z9"/>
  <c r="H14"/>
  <c r="N14"/>
  <c r="O14"/>
  <c r="D15" i="13" s="1"/>
  <c r="P14" i="6"/>
  <c r="E15" i="13" s="1"/>
  <c r="E53" s="1"/>
  <c r="Q14" i="6"/>
  <c r="F15" i="13" s="1"/>
  <c r="F53" s="1"/>
  <c r="R14" i="6"/>
  <c r="G15" i="13" s="1"/>
  <c r="G53" s="1"/>
  <c r="S14" i="6"/>
  <c r="H15" i="13" s="1"/>
  <c r="H53" s="1"/>
  <c r="T14" i="6"/>
  <c r="I15" i="13" s="1"/>
  <c r="I53" s="1"/>
  <c r="U14" i="6"/>
  <c r="J15" i="13" s="1"/>
  <c r="J53" s="1"/>
  <c r="V14" i="6"/>
  <c r="K15" i="13" s="1"/>
  <c r="K53" s="1"/>
  <c r="W14" i="6"/>
  <c r="L15" i="13" s="1"/>
  <c r="L53" s="1"/>
  <c r="X14" i="6"/>
  <c r="M15" i="13" s="1"/>
  <c r="M53" s="1"/>
  <c r="Y14" i="6"/>
  <c r="N15" i="13" s="1"/>
  <c r="N53" s="1"/>
  <c r="Z14" i="6"/>
  <c r="O15" i="13" s="1"/>
  <c r="O53" s="1"/>
  <c r="AD14" i="6"/>
  <c r="AE14"/>
  <c r="H15"/>
  <c r="N15"/>
  <c r="O15"/>
  <c r="D16" i="13" s="1"/>
  <c r="P15" i="6"/>
  <c r="E16" i="13" s="1"/>
  <c r="E54" s="1"/>
  <c r="Q15" i="6"/>
  <c r="F16" i="13" s="1"/>
  <c r="F54" s="1"/>
  <c r="R15" i="6"/>
  <c r="G16" i="13" s="1"/>
  <c r="G54" s="1"/>
  <c r="S15" i="6"/>
  <c r="H16" i="13" s="1"/>
  <c r="H54" s="1"/>
  <c r="T15" i="6"/>
  <c r="I16" i="13" s="1"/>
  <c r="I54" s="1"/>
  <c r="U15" i="6"/>
  <c r="J16" i="13" s="1"/>
  <c r="J54" s="1"/>
  <c r="V15" i="6"/>
  <c r="K16" i="13" s="1"/>
  <c r="K54" s="1"/>
  <c r="W15" i="6"/>
  <c r="L16" i="13" s="1"/>
  <c r="L54" s="1"/>
  <c r="X15" i="6"/>
  <c r="M16" i="13" s="1"/>
  <c r="M54" s="1"/>
  <c r="Y15" i="6"/>
  <c r="N16" i="13" s="1"/>
  <c r="N54" s="1"/>
  <c r="Z15" i="6"/>
  <c r="O16" i="13" s="1"/>
  <c r="O54" s="1"/>
  <c r="AD15" i="6"/>
  <c r="AE15"/>
  <c r="H16"/>
  <c r="N16"/>
  <c r="O16"/>
  <c r="D17" i="13" s="1"/>
  <c r="P16" i="6"/>
  <c r="E17" i="13" s="1"/>
  <c r="E55" s="1"/>
  <c r="Q16" i="6"/>
  <c r="F17" i="13" s="1"/>
  <c r="F55" s="1"/>
  <c r="R16" i="6"/>
  <c r="G17" i="13" s="1"/>
  <c r="G55" s="1"/>
  <c r="S16" i="6"/>
  <c r="H17" i="13" s="1"/>
  <c r="H55" s="1"/>
  <c r="T16" i="6"/>
  <c r="I17" i="13" s="1"/>
  <c r="I55" s="1"/>
  <c r="U16" i="6"/>
  <c r="J17" i="13" s="1"/>
  <c r="J55" s="1"/>
  <c r="V16" i="6"/>
  <c r="K17" i="13" s="1"/>
  <c r="K55" s="1"/>
  <c r="W16" i="6"/>
  <c r="L17" i="13" s="1"/>
  <c r="L55" s="1"/>
  <c r="X16" i="6"/>
  <c r="M17" i="13" s="1"/>
  <c r="M55" s="1"/>
  <c r="Y16" i="6"/>
  <c r="N17" i="13" s="1"/>
  <c r="N55" s="1"/>
  <c r="Z16" i="6"/>
  <c r="O17" i="13" s="1"/>
  <c r="O55" s="1"/>
  <c r="AD16" i="6"/>
  <c r="AE16"/>
  <c r="H17"/>
  <c r="N17"/>
  <c r="O17"/>
  <c r="D18" i="13" s="1"/>
  <c r="P17" i="6"/>
  <c r="E18" i="13" s="1"/>
  <c r="E56" s="1"/>
  <c r="Q17" i="6"/>
  <c r="F18" i="13" s="1"/>
  <c r="F56" s="1"/>
  <c r="R17" i="6"/>
  <c r="G18" i="13" s="1"/>
  <c r="G56" s="1"/>
  <c r="S17" i="6"/>
  <c r="H18" i="13" s="1"/>
  <c r="H56" s="1"/>
  <c r="T17" i="6"/>
  <c r="I18" i="13" s="1"/>
  <c r="I56" s="1"/>
  <c r="U17" i="6"/>
  <c r="J18" i="13" s="1"/>
  <c r="J56" s="1"/>
  <c r="V17" i="6"/>
  <c r="K18" i="13" s="1"/>
  <c r="K56" s="1"/>
  <c r="W17" i="6"/>
  <c r="L18" i="13" s="1"/>
  <c r="L56" s="1"/>
  <c r="X17" i="6"/>
  <c r="M18" i="13" s="1"/>
  <c r="M56" s="1"/>
  <c r="Y17" i="6"/>
  <c r="N18" i="13" s="1"/>
  <c r="N56" s="1"/>
  <c r="Z17" i="6"/>
  <c r="O18" i="13" s="1"/>
  <c r="O56" s="1"/>
  <c r="AD17" i="6"/>
  <c r="AE17"/>
  <c r="H18"/>
  <c r="N18"/>
  <c r="O18"/>
  <c r="D19" i="13" s="1"/>
  <c r="P18" i="6"/>
  <c r="E19" i="13" s="1"/>
  <c r="E57" s="1"/>
  <c r="Q18" i="6"/>
  <c r="F19" i="13" s="1"/>
  <c r="F57" s="1"/>
  <c r="R18" i="6"/>
  <c r="G19" i="13" s="1"/>
  <c r="G57" s="1"/>
  <c r="S18" i="6"/>
  <c r="H19" i="13" s="1"/>
  <c r="H57" s="1"/>
  <c r="T18" i="6"/>
  <c r="I19" i="13" s="1"/>
  <c r="I57" s="1"/>
  <c r="U18" i="6"/>
  <c r="J19" i="13" s="1"/>
  <c r="J57" s="1"/>
  <c r="V18" i="6"/>
  <c r="K19" i="13" s="1"/>
  <c r="K57" s="1"/>
  <c r="W18" i="6"/>
  <c r="L19" i="13" s="1"/>
  <c r="L57" s="1"/>
  <c r="X18" i="6"/>
  <c r="M19" i="13" s="1"/>
  <c r="M57" s="1"/>
  <c r="Y18" i="6"/>
  <c r="N19" i="13" s="1"/>
  <c r="N57" s="1"/>
  <c r="Z18" i="6"/>
  <c r="O19" i="13" s="1"/>
  <c r="O57" s="1"/>
  <c r="AD18" i="6"/>
  <c r="H19"/>
  <c r="N19"/>
  <c r="O19"/>
  <c r="D20" i="13" s="1"/>
  <c r="P19" i="6"/>
  <c r="E20" i="13" s="1"/>
  <c r="E58" s="1"/>
  <c r="Q19" i="6"/>
  <c r="F20" i="13" s="1"/>
  <c r="F58" s="1"/>
  <c r="R19" i="6"/>
  <c r="G20" i="13" s="1"/>
  <c r="G58" s="1"/>
  <c r="S19" i="6"/>
  <c r="H20" i="13" s="1"/>
  <c r="H58" s="1"/>
  <c r="T19" i="6"/>
  <c r="I20" i="13" s="1"/>
  <c r="I58" s="1"/>
  <c r="U19" i="6"/>
  <c r="J20" i="13" s="1"/>
  <c r="J58" s="1"/>
  <c r="V19" i="6"/>
  <c r="K20" i="13" s="1"/>
  <c r="K58" s="1"/>
  <c r="W19" i="6"/>
  <c r="L20" i="13" s="1"/>
  <c r="L58" s="1"/>
  <c r="X19" i="6"/>
  <c r="M20" i="13" s="1"/>
  <c r="M58" s="1"/>
  <c r="Y19" i="6"/>
  <c r="N20" i="13" s="1"/>
  <c r="N58" s="1"/>
  <c r="Z19" i="6"/>
  <c r="O20" i="13" s="1"/>
  <c r="O58" s="1"/>
  <c r="H20" i="6"/>
  <c r="N20"/>
  <c r="O20"/>
  <c r="D21" i="13" s="1"/>
  <c r="P20" i="6"/>
  <c r="E21" i="13" s="1"/>
  <c r="E59" s="1"/>
  <c r="Q20" i="6"/>
  <c r="F21" i="13" s="1"/>
  <c r="F59" s="1"/>
  <c r="R20" i="6"/>
  <c r="G21" i="13" s="1"/>
  <c r="G59" s="1"/>
  <c r="S20" i="6"/>
  <c r="H21" i="13" s="1"/>
  <c r="H59" s="1"/>
  <c r="T20" i="6"/>
  <c r="I21" i="13" s="1"/>
  <c r="I59" s="1"/>
  <c r="U20" i="6"/>
  <c r="J21" i="13" s="1"/>
  <c r="J59" s="1"/>
  <c r="V20" i="6"/>
  <c r="K21" i="13" s="1"/>
  <c r="K59" s="1"/>
  <c r="W20" i="6"/>
  <c r="L21" i="13" s="1"/>
  <c r="L59" s="1"/>
  <c r="X20" i="6"/>
  <c r="M21" i="13" s="1"/>
  <c r="M59" s="1"/>
  <c r="Y20" i="6"/>
  <c r="N21" i="13" s="1"/>
  <c r="N59" s="1"/>
  <c r="Z20" i="6"/>
  <c r="O21" i="13" s="1"/>
  <c r="O59" s="1"/>
  <c r="AD20" i="6"/>
  <c r="H21"/>
  <c r="N21"/>
  <c r="O21"/>
  <c r="D22" i="13" s="1"/>
  <c r="P21" i="6"/>
  <c r="E22" i="13" s="1"/>
  <c r="E60" s="1"/>
  <c r="Q21" i="6"/>
  <c r="F22" i="13" s="1"/>
  <c r="F60" s="1"/>
  <c r="R21" i="6"/>
  <c r="G22" i="13" s="1"/>
  <c r="G60" s="1"/>
  <c r="S21" i="6"/>
  <c r="H22" i="13" s="1"/>
  <c r="H60" s="1"/>
  <c r="T21" i="6"/>
  <c r="I22" i="13" s="1"/>
  <c r="I60" s="1"/>
  <c r="U21" i="6"/>
  <c r="J22" i="13" s="1"/>
  <c r="J60" s="1"/>
  <c r="V21" i="6"/>
  <c r="K22" i="13" s="1"/>
  <c r="K60" s="1"/>
  <c r="W21" i="6"/>
  <c r="L22" i="13" s="1"/>
  <c r="L60" s="1"/>
  <c r="X21" i="6"/>
  <c r="M22" i="13" s="1"/>
  <c r="M60" s="1"/>
  <c r="Y21" i="6"/>
  <c r="N22" i="13" s="1"/>
  <c r="N60" s="1"/>
  <c r="Z21" i="6"/>
  <c r="O22" i="13" s="1"/>
  <c r="O60" s="1"/>
  <c r="AD21" i="6"/>
  <c r="H22"/>
  <c r="N22"/>
  <c r="H99" i="13" s="1"/>
  <c r="O22" i="6"/>
  <c r="D23" i="13" s="1"/>
  <c r="P22" i="6"/>
  <c r="E23" i="13" s="1"/>
  <c r="E61" s="1"/>
  <c r="Q22" i="6"/>
  <c r="F23" i="13" s="1"/>
  <c r="F61" s="1"/>
  <c r="R22" i="6"/>
  <c r="G23" i="13" s="1"/>
  <c r="G61" s="1"/>
  <c r="S22" i="6"/>
  <c r="H23" i="13" s="1"/>
  <c r="H61" s="1"/>
  <c r="T22" i="6"/>
  <c r="I23" i="13" s="1"/>
  <c r="I61" s="1"/>
  <c r="Y22" i="6"/>
  <c r="N23" i="13" s="1"/>
  <c r="N61" s="1"/>
  <c r="Z22" i="6"/>
  <c r="O23" i="13" s="1"/>
  <c r="O61" s="1"/>
  <c r="AE22" i="6"/>
  <c r="N23"/>
  <c r="P23"/>
  <c r="E24" i="13" s="1"/>
  <c r="Q23" i="6"/>
  <c r="F24" i="13" s="1"/>
  <c r="F62" s="1"/>
  <c r="R23" i="6"/>
  <c r="G24" i="13" s="1"/>
  <c r="G62" s="1"/>
  <c r="S23" i="6"/>
  <c r="H24" i="13" s="1"/>
  <c r="H62" s="1"/>
  <c r="T23" i="6"/>
  <c r="I24" i="13" s="1"/>
  <c r="I62" s="1"/>
  <c r="U23" i="6"/>
  <c r="J24" i="13" s="1"/>
  <c r="J62" s="1"/>
  <c r="K62" s="1"/>
  <c r="W23" i="6"/>
  <c r="L24" i="13" s="1"/>
  <c r="L62" s="1"/>
  <c r="M62" s="1"/>
  <c r="X23" i="6"/>
  <c r="M24" i="13" s="1"/>
  <c r="Y23" i="6"/>
  <c r="N24" i="13" s="1"/>
  <c r="N62" s="1"/>
  <c r="O62" s="1"/>
  <c r="Z23" i="6"/>
  <c r="O24" i="13" s="1"/>
  <c r="AE23" i="6"/>
  <c r="H27"/>
  <c r="N27"/>
  <c r="O27"/>
  <c r="D28" i="13" s="1"/>
  <c r="P27" i="6"/>
  <c r="E28" i="13" s="1"/>
  <c r="E66" s="1"/>
  <c r="Q27" i="6"/>
  <c r="F28" i="13" s="1"/>
  <c r="F66" s="1"/>
  <c r="R27" i="6"/>
  <c r="G28" i="13" s="1"/>
  <c r="G66" s="1"/>
  <c r="S27" i="6"/>
  <c r="H28" i="13" s="1"/>
  <c r="H66" s="1"/>
  <c r="T27" i="6"/>
  <c r="I28" i="13" s="1"/>
  <c r="I66" s="1"/>
  <c r="U27" i="6"/>
  <c r="J28" i="13" s="1"/>
  <c r="J66" s="1"/>
  <c r="V27" i="6"/>
  <c r="K28" i="13" s="1"/>
  <c r="K66" s="1"/>
  <c r="W27" i="6"/>
  <c r="L28" i="13" s="1"/>
  <c r="L66" s="1"/>
  <c r="X27" i="6"/>
  <c r="M28" i="13" s="1"/>
  <c r="M66" s="1"/>
  <c r="Y27" i="6"/>
  <c r="N28" i="13" s="1"/>
  <c r="N66" s="1"/>
  <c r="Z27" i="6"/>
  <c r="O28" i="13" s="1"/>
  <c r="O66" s="1"/>
  <c r="AD27" i="6"/>
  <c r="H28"/>
  <c r="N28"/>
  <c r="O28"/>
  <c r="D29" i="13" s="1"/>
  <c r="P28" i="6"/>
  <c r="E29" i="13" s="1"/>
  <c r="E67" s="1"/>
  <c r="Q28" i="6"/>
  <c r="F29" i="13" s="1"/>
  <c r="F67" s="1"/>
  <c r="R28" i="6"/>
  <c r="G29" i="13" s="1"/>
  <c r="G67" s="1"/>
  <c r="S28" i="6"/>
  <c r="H29" i="13" s="1"/>
  <c r="H67" s="1"/>
  <c r="T28" i="6"/>
  <c r="I29" i="13" s="1"/>
  <c r="I67" s="1"/>
  <c r="U28" i="6"/>
  <c r="J29" i="13" s="1"/>
  <c r="J67" s="1"/>
  <c r="V28" i="6"/>
  <c r="K29" i="13" s="1"/>
  <c r="K67" s="1"/>
  <c r="W28" i="6"/>
  <c r="L29" i="13" s="1"/>
  <c r="L67" s="1"/>
  <c r="X28" i="6"/>
  <c r="M29" i="13" s="1"/>
  <c r="M67" s="1"/>
  <c r="Y28" i="6"/>
  <c r="N29" i="13" s="1"/>
  <c r="N67" s="1"/>
  <c r="Z28" i="6"/>
  <c r="O29" i="13" s="1"/>
  <c r="O67" s="1"/>
  <c r="AD28" i="6"/>
  <c r="H29"/>
  <c r="N29"/>
  <c r="O29"/>
  <c r="D30" i="13" s="1"/>
  <c r="P29" i="6"/>
  <c r="E30" i="13" s="1"/>
  <c r="E68" s="1"/>
  <c r="Q29" i="6"/>
  <c r="F30" i="13" s="1"/>
  <c r="F68" s="1"/>
  <c r="R29" i="6"/>
  <c r="G30" i="13" s="1"/>
  <c r="G68" s="1"/>
  <c r="S29" i="6"/>
  <c r="H30" i="13" s="1"/>
  <c r="H68" s="1"/>
  <c r="T29" i="6"/>
  <c r="I30" i="13" s="1"/>
  <c r="I68" s="1"/>
  <c r="U29" i="6"/>
  <c r="J30" i="13" s="1"/>
  <c r="J68" s="1"/>
  <c r="V29" i="6"/>
  <c r="K30" i="13" s="1"/>
  <c r="K68" s="1"/>
  <c r="W29" i="6"/>
  <c r="L30" i="13" s="1"/>
  <c r="L68" s="1"/>
  <c r="X29" i="6"/>
  <c r="M30" i="13" s="1"/>
  <c r="M68" s="1"/>
  <c r="Y29" i="6"/>
  <c r="N30" i="13" s="1"/>
  <c r="N68" s="1"/>
  <c r="Z29" i="6"/>
  <c r="O30" i="13" s="1"/>
  <c r="O68" s="1"/>
  <c r="AD29" i="6"/>
  <c r="H30"/>
  <c r="N30"/>
  <c r="O30"/>
  <c r="D31" i="13" s="1"/>
  <c r="P30" i="6"/>
  <c r="E31" i="13" s="1"/>
  <c r="E69" s="1"/>
  <c r="Q30" i="6"/>
  <c r="F31" i="13" s="1"/>
  <c r="F69" s="1"/>
  <c r="R30" i="6"/>
  <c r="G31" i="13" s="1"/>
  <c r="G69" s="1"/>
  <c r="S30" i="6"/>
  <c r="H31" i="13" s="1"/>
  <c r="H69" s="1"/>
  <c r="T30" i="6"/>
  <c r="I31" i="13" s="1"/>
  <c r="I69" s="1"/>
  <c r="U30" i="6"/>
  <c r="J31" i="13" s="1"/>
  <c r="J69" s="1"/>
  <c r="V30" i="6"/>
  <c r="K31" i="13" s="1"/>
  <c r="K69" s="1"/>
  <c r="W30" i="6"/>
  <c r="L31" i="13" s="1"/>
  <c r="L69" s="1"/>
  <c r="X30" i="6"/>
  <c r="M31" i="13" s="1"/>
  <c r="M69" s="1"/>
  <c r="Y30" i="6"/>
  <c r="N31" i="13" s="1"/>
  <c r="N69" s="1"/>
  <c r="Z30" i="6"/>
  <c r="O31" i="13" s="1"/>
  <c r="O69" s="1"/>
  <c r="AD30" i="6"/>
  <c r="H31"/>
  <c r="N31"/>
  <c r="O31"/>
  <c r="D32" i="13" s="1"/>
  <c r="P31" i="6"/>
  <c r="E32" i="13" s="1"/>
  <c r="E70" s="1"/>
  <c r="Q31" i="6"/>
  <c r="F32" i="13" s="1"/>
  <c r="F70" s="1"/>
  <c r="R31" i="6"/>
  <c r="G32" i="13" s="1"/>
  <c r="G70" s="1"/>
  <c r="S31" i="6"/>
  <c r="H32" i="13" s="1"/>
  <c r="H70" s="1"/>
  <c r="T31" i="6"/>
  <c r="I32" i="13" s="1"/>
  <c r="I70" s="1"/>
  <c r="U31" i="6"/>
  <c r="J32" i="13" s="1"/>
  <c r="J70" s="1"/>
  <c r="V31" i="6"/>
  <c r="K32" i="13" s="1"/>
  <c r="K70" s="1"/>
  <c r="W31" i="6"/>
  <c r="L32" i="13" s="1"/>
  <c r="L70" s="1"/>
  <c r="X31" i="6"/>
  <c r="M32" i="13" s="1"/>
  <c r="M70" s="1"/>
  <c r="Y31" i="6"/>
  <c r="N32" i="13" s="1"/>
  <c r="N70" s="1"/>
  <c r="Z31" i="6"/>
  <c r="O32" i="13" s="1"/>
  <c r="O70" s="1"/>
  <c r="AD31" i="6"/>
  <c r="H32"/>
  <c r="N32"/>
  <c r="O32"/>
  <c r="D33" i="13" s="1"/>
  <c r="P32" i="6"/>
  <c r="E33" i="13" s="1"/>
  <c r="E71" s="1"/>
  <c r="Q32" i="6"/>
  <c r="F33" i="13" s="1"/>
  <c r="F71" s="1"/>
  <c r="R32" i="6"/>
  <c r="G33" i="13" s="1"/>
  <c r="G71" s="1"/>
  <c r="S32" i="6"/>
  <c r="H33" i="13" s="1"/>
  <c r="H71" s="1"/>
  <c r="T32" i="6"/>
  <c r="I33" i="13" s="1"/>
  <c r="I71" s="1"/>
  <c r="U32" i="6"/>
  <c r="J33" i="13" s="1"/>
  <c r="J71" s="1"/>
  <c r="V32" i="6"/>
  <c r="K33" i="13" s="1"/>
  <c r="K71" s="1"/>
  <c r="W32" i="6"/>
  <c r="L33" i="13" s="1"/>
  <c r="L71" s="1"/>
  <c r="X32" i="6"/>
  <c r="M33" i="13" s="1"/>
  <c r="M71" s="1"/>
  <c r="Y32" i="6"/>
  <c r="N33" i="13" s="1"/>
  <c r="N71" s="1"/>
  <c r="Z32" i="6"/>
  <c r="O33" i="13" s="1"/>
  <c r="O71" s="1"/>
  <c r="AD32" i="6"/>
  <c r="H33"/>
  <c r="N33"/>
  <c r="O33"/>
  <c r="D34" i="13" s="1"/>
  <c r="P33" i="6"/>
  <c r="E34" i="13" s="1"/>
  <c r="E72" s="1"/>
  <c r="Q33" i="6"/>
  <c r="F34" i="13" s="1"/>
  <c r="F72" s="1"/>
  <c r="R33" i="6"/>
  <c r="G34" i="13" s="1"/>
  <c r="G72" s="1"/>
  <c r="S33" i="6"/>
  <c r="H34" i="13" s="1"/>
  <c r="H72" s="1"/>
  <c r="T33" i="6"/>
  <c r="I34" i="13" s="1"/>
  <c r="I72" s="1"/>
  <c r="U33" i="6"/>
  <c r="J34" i="13" s="1"/>
  <c r="J72" s="1"/>
  <c r="V33" i="6"/>
  <c r="K34" i="13" s="1"/>
  <c r="K72" s="1"/>
  <c r="W33" i="6"/>
  <c r="L34" i="13" s="1"/>
  <c r="L72" s="1"/>
  <c r="X33" i="6"/>
  <c r="M34" i="13" s="1"/>
  <c r="M72" s="1"/>
  <c r="Y33" i="6"/>
  <c r="N34" i="13" s="1"/>
  <c r="N72" s="1"/>
  <c r="Z33" i="6"/>
  <c r="O34" i="13" s="1"/>
  <c r="O72" s="1"/>
  <c r="AD33" i="6"/>
  <c r="H34"/>
  <c r="N34"/>
  <c r="O34"/>
  <c r="D35" i="13" s="1"/>
  <c r="P34" i="6"/>
  <c r="E35" i="13" s="1"/>
  <c r="E73" s="1"/>
  <c r="Q34" i="6"/>
  <c r="F35" i="13" s="1"/>
  <c r="F73" s="1"/>
  <c r="R34" i="6"/>
  <c r="G35" i="13" s="1"/>
  <c r="G73" s="1"/>
  <c r="S34" i="6"/>
  <c r="H35" i="13" s="1"/>
  <c r="H73" s="1"/>
  <c r="T34" i="6"/>
  <c r="I35" i="13" s="1"/>
  <c r="I73" s="1"/>
  <c r="U34" i="6"/>
  <c r="J35" i="13" s="1"/>
  <c r="J73" s="1"/>
  <c r="V34" i="6"/>
  <c r="K35" i="13" s="1"/>
  <c r="K73" s="1"/>
  <c r="W34" i="6"/>
  <c r="L35" i="13" s="1"/>
  <c r="L73" s="1"/>
  <c r="X34" i="6"/>
  <c r="M35" i="13" s="1"/>
  <c r="M73" s="1"/>
  <c r="Y34" i="6"/>
  <c r="N35" i="13" s="1"/>
  <c r="N73" s="1"/>
  <c r="Z34" i="6"/>
  <c r="O35" i="13" s="1"/>
  <c r="O73" s="1"/>
  <c r="N35" i="6"/>
  <c r="R35"/>
  <c r="G36" i="13" s="1"/>
  <c r="S35" i="6"/>
  <c r="H36" i="13" s="1"/>
  <c r="H74" s="1"/>
  <c r="T35" i="6"/>
  <c r="I36" i="13" s="1"/>
  <c r="I74" s="1"/>
  <c r="U35" i="6"/>
  <c r="J36" i="13" s="1"/>
  <c r="J74" s="1"/>
  <c r="V35" i="6"/>
  <c r="K36" i="13" s="1"/>
  <c r="K74" s="1"/>
  <c r="W35" i="6"/>
  <c r="L36" i="13" s="1"/>
  <c r="L74" s="1"/>
  <c r="X35" i="6"/>
  <c r="M36" i="13" s="1"/>
  <c r="M74" s="1"/>
  <c r="Y35" i="6"/>
  <c r="N36" i="13" s="1"/>
  <c r="N74" s="1"/>
  <c r="Z35" i="6"/>
  <c r="O36" i="13" s="1"/>
  <c r="O74" s="1"/>
  <c r="D36" i="6"/>
  <c r="D37"/>
  <c r="E37"/>
  <c r="F37"/>
  <c r="G37"/>
  <c r="H37"/>
  <c r="J37"/>
  <c r="K37"/>
  <c r="L37"/>
  <c r="M37"/>
  <c r="N37"/>
  <c r="O37"/>
  <c r="P37"/>
  <c r="Q37"/>
  <c r="R37"/>
  <c r="S37"/>
  <c r="T37"/>
  <c r="U37"/>
  <c r="V37"/>
  <c r="W37"/>
  <c r="X37"/>
  <c r="Y37"/>
  <c r="Z37"/>
  <c r="AC37"/>
  <c r="AD37"/>
  <c r="AF37"/>
  <c r="AG37"/>
  <c r="AH37"/>
  <c r="Z40"/>
  <c r="Q5" i="3" s="1"/>
  <c r="N6" i="14" s="1"/>
  <c r="O41" i="6"/>
  <c r="F6" i="3" s="1"/>
  <c r="P41" i="6"/>
  <c r="G6" i="3" s="1"/>
  <c r="D7" i="14" s="1"/>
  <c r="Q41" i="6"/>
  <c r="H6" i="3" s="1"/>
  <c r="E7" i="14" s="1"/>
  <c r="R41" i="6"/>
  <c r="I6" i="3" s="1"/>
  <c r="F7" i="14" s="1"/>
  <c r="S41" i="6"/>
  <c r="J6" i="3" s="1"/>
  <c r="G7" i="14" s="1"/>
  <c r="T41" i="6"/>
  <c r="K6" i="3" s="1"/>
  <c r="H7" i="14" s="1"/>
  <c r="U41" i="6"/>
  <c r="L6" i="3" s="1"/>
  <c r="I7" i="14" s="1"/>
  <c r="V41" i="6"/>
  <c r="M6" i="3" s="1"/>
  <c r="J7" i="14" s="1"/>
  <c r="W41" i="6"/>
  <c r="N6" i="3" s="1"/>
  <c r="K7" i="14" s="1"/>
  <c r="X41" i="6"/>
  <c r="O6" i="3" s="1"/>
  <c r="L7" i="14" s="1"/>
  <c r="Y41" i="6"/>
  <c r="P6" i="3" s="1"/>
  <c r="M7" i="14" s="1"/>
  <c r="Z42" i="6"/>
  <c r="O43"/>
  <c r="P43"/>
  <c r="Q43"/>
  <c r="R43"/>
  <c r="S43"/>
  <c r="T43"/>
  <c r="U43"/>
  <c r="V43"/>
  <c r="W43"/>
  <c r="X43"/>
  <c r="Y43"/>
  <c r="Z43"/>
  <c r="Z44"/>
  <c r="E95" i="23"/>
  <c r="E101"/>
  <c r="E119"/>
  <c r="E132"/>
  <c r="E137"/>
  <c r="E138"/>
  <c r="E139"/>
  <c r="E140"/>
  <c r="F15" i="3" s="1"/>
  <c r="E141" i="23"/>
  <c r="F14" i="3" s="1"/>
  <c r="E142" i="23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C15" i="14" l="1"/>
  <c r="G14" i="3"/>
  <c r="C14" i="22"/>
  <c r="C16" i="14"/>
  <c r="G15" i="3"/>
  <c r="C15" i="22"/>
  <c r="P36" i="13"/>
  <c r="G74"/>
  <c r="P74" s="1"/>
  <c r="P35"/>
  <c r="D73"/>
  <c r="P73" s="1"/>
  <c r="P34"/>
  <c r="D72"/>
  <c r="P72" s="1"/>
  <c r="P33"/>
  <c r="D71"/>
  <c r="P71" s="1"/>
  <c r="P32"/>
  <c r="D70"/>
  <c r="P70" s="1"/>
  <c r="P31"/>
  <c r="D69"/>
  <c r="P69" s="1"/>
  <c r="P30"/>
  <c r="D68"/>
  <c r="P68" s="1"/>
  <c r="P29"/>
  <c r="D67"/>
  <c r="P67" s="1"/>
  <c r="P28"/>
  <c r="D66"/>
  <c r="P66" s="1"/>
  <c r="P24"/>
  <c r="E62"/>
  <c r="P62" s="1"/>
  <c r="P23"/>
  <c r="D61"/>
  <c r="P61" s="1"/>
  <c r="H115"/>
  <c r="J9" i="3" s="1"/>
  <c r="P22" i="13"/>
  <c r="D60"/>
  <c r="P60" s="1"/>
  <c r="P21"/>
  <c r="D59"/>
  <c r="P59" s="1"/>
  <c r="P20"/>
  <c r="D58"/>
  <c r="P58" s="1"/>
  <c r="P19"/>
  <c r="D57"/>
  <c r="P57" s="1"/>
  <c r="P18"/>
  <c r="D56"/>
  <c r="P56" s="1"/>
  <c r="P17"/>
  <c r="D55"/>
  <c r="P55" s="1"/>
  <c r="P16"/>
  <c r="D54"/>
  <c r="P54" s="1"/>
  <c r="P15"/>
  <c r="D53"/>
  <c r="P53" s="1"/>
  <c r="P10"/>
  <c r="D48"/>
  <c r="P48" s="1"/>
  <c r="F39"/>
  <c r="F47"/>
  <c r="F77" s="1"/>
  <c r="P9"/>
  <c r="D47"/>
  <c r="P47" s="1"/>
  <c r="O39"/>
  <c r="O46"/>
  <c r="O77" s="1"/>
  <c r="N39"/>
  <c r="N46"/>
  <c r="N77" s="1"/>
  <c r="M39"/>
  <c r="M46"/>
  <c r="M77" s="1"/>
  <c r="L39"/>
  <c r="L46"/>
  <c r="L77" s="1"/>
  <c r="K39"/>
  <c r="K46"/>
  <c r="K77" s="1"/>
  <c r="J39"/>
  <c r="J46"/>
  <c r="J77" s="1"/>
  <c r="I39"/>
  <c r="I46"/>
  <c r="I77" s="1"/>
  <c r="H39"/>
  <c r="H46"/>
  <c r="H77" s="1"/>
  <c r="G39"/>
  <c r="G46"/>
  <c r="G77" s="1"/>
  <c r="E39"/>
  <c r="E46"/>
  <c r="E77" s="1"/>
  <c r="P8"/>
  <c r="P39" s="1"/>
  <c r="D39"/>
  <c r="Q39" s="1"/>
  <c r="D46"/>
  <c r="E130"/>
  <c r="D153"/>
  <c r="F8" i="3" s="1"/>
  <c r="L4" i="1"/>
  <c r="I13"/>
  <c r="I22"/>
  <c r="I24"/>
  <c r="I28"/>
  <c r="I37"/>
  <c r="I41"/>
  <c r="I43"/>
  <c r="O9" i="21"/>
  <c r="O8"/>
  <c r="C7" i="14"/>
  <c r="O7" s="1"/>
  <c r="R6" i="3"/>
  <c r="B27" i="15"/>
  <c r="U7" i="3"/>
  <c r="D167" i="14"/>
  <c r="D192"/>
  <c r="E192"/>
  <c r="E205" s="1"/>
  <c r="E237" s="1"/>
  <c r="E8" i="10" s="1"/>
  <c r="N70" i="5"/>
  <c r="N71"/>
  <c r="N72"/>
  <c r="N73"/>
  <c r="N74"/>
  <c r="M70"/>
  <c r="M71"/>
  <c r="M72"/>
  <c r="M73"/>
  <c r="M74"/>
  <c r="L70"/>
  <c r="L71"/>
  <c r="L72"/>
  <c r="L73"/>
  <c r="L74"/>
  <c r="K70"/>
  <c r="K71"/>
  <c r="K72"/>
  <c r="K73"/>
  <c r="K74"/>
  <c r="J70"/>
  <c r="J71"/>
  <c r="J72"/>
  <c r="J73"/>
  <c r="J74"/>
  <c r="H70"/>
  <c r="H71"/>
  <c r="I71"/>
  <c r="H72"/>
  <c r="I72"/>
  <c r="H73"/>
  <c r="I73"/>
  <c r="H74"/>
  <c r="I74"/>
  <c r="G70"/>
  <c r="G71"/>
  <c r="G72"/>
  <c r="G73"/>
  <c r="G74"/>
  <c r="F70"/>
  <c r="F71"/>
  <c r="F72"/>
  <c r="F73"/>
  <c r="F74"/>
  <c r="E70"/>
  <c r="E71"/>
  <c r="E72"/>
  <c r="E73"/>
  <c r="E74"/>
  <c r="D70"/>
  <c r="D71"/>
  <c r="D72"/>
  <c r="D73"/>
  <c r="D74"/>
  <c r="C70"/>
  <c r="C71"/>
  <c r="O71" s="1"/>
  <c r="C72"/>
  <c r="O72" s="1"/>
  <c r="C73"/>
  <c r="O73" s="1"/>
  <c r="C74"/>
  <c r="O74" s="1"/>
  <c r="N63"/>
  <c r="N64"/>
  <c r="N65"/>
  <c r="N66"/>
  <c r="N67"/>
  <c r="M63"/>
  <c r="M64"/>
  <c r="M65"/>
  <c r="M66"/>
  <c r="M67"/>
  <c r="L63"/>
  <c r="L64"/>
  <c r="L65"/>
  <c r="L66"/>
  <c r="L67"/>
  <c r="K63"/>
  <c r="K64"/>
  <c r="K65"/>
  <c r="K66"/>
  <c r="K67"/>
  <c r="J63"/>
  <c r="J64"/>
  <c r="J65"/>
  <c r="J66"/>
  <c r="J67"/>
  <c r="I63"/>
  <c r="I64"/>
  <c r="I65"/>
  <c r="I66"/>
  <c r="I67"/>
  <c r="H63"/>
  <c r="H64"/>
  <c r="H65"/>
  <c r="H66"/>
  <c r="H67"/>
  <c r="G63"/>
  <c r="G64"/>
  <c r="G65"/>
  <c r="G66"/>
  <c r="G67"/>
  <c r="F63"/>
  <c r="F64"/>
  <c r="F65"/>
  <c r="F66"/>
  <c r="F67"/>
  <c r="E63"/>
  <c r="E64"/>
  <c r="E65"/>
  <c r="E66"/>
  <c r="E67"/>
  <c r="D63"/>
  <c r="D64"/>
  <c r="D65"/>
  <c r="D66"/>
  <c r="D67"/>
  <c r="C63"/>
  <c r="C64"/>
  <c r="O64" s="1"/>
  <c r="C65"/>
  <c r="O65" s="1"/>
  <c r="C66"/>
  <c r="O66" s="1"/>
  <c r="C67"/>
  <c r="O67" s="1"/>
  <c r="M187" i="14"/>
  <c r="N224"/>
  <c r="O224" s="1"/>
  <c r="L187"/>
  <c r="M223"/>
  <c r="N223"/>
  <c r="N226" s="1"/>
  <c r="L222"/>
  <c r="M222"/>
  <c r="M226" s="1"/>
  <c r="J187"/>
  <c r="L221"/>
  <c r="L226" s="1"/>
  <c r="I187"/>
  <c r="J220"/>
  <c r="K220"/>
  <c r="H187"/>
  <c r="J219"/>
  <c r="J226" s="1"/>
  <c r="G187"/>
  <c r="H218"/>
  <c r="I218"/>
  <c r="F187"/>
  <c r="G217"/>
  <c r="H217"/>
  <c r="H226" s="1"/>
  <c r="E187"/>
  <c r="F216"/>
  <c r="G216"/>
  <c r="G226" s="1"/>
  <c r="D187"/>
  <c r="E215"/>
  <c r="F215"/>
  <c r="F226" s="1"/>
  <c r="C187"/>
  <c r="D214"/>
  <c r="E214"/>
  <c r="E226" s="1"/>
  <c r="N56" i="5"/>
  <c r="N57"/>
  <c r="N58"/>
  <c r="N59"/>
  <c r="N60"/>
  <c r="M56"/>
  <c r="M57"/>
  <c r="M58"/>
  <c r="M59"/>
  <c r="M60"/>
  <c r="L56"/>
  <c r="L57"/>
  <c r="L58"/>
  <c r="L59"/>
  <c r="L60"/>
  <c r="K56"/>
  <c r="K57"/>
  <c r="K58"/>
  <c r="K59"/>
  <c r="K60"/>
  <c r="J56"/>
  <c r="J57"/>
  <c r="J58"/>
  <c r="J59"/>
  <c r="J60"/>
  <c r="I56"/>
  <c r="I57"/>
  <c r="I58"/>
  <c r="I59"/>
  <c r="I60"/>
  <c r="H56"/>
  <c r="H57"/>
  <c r="H58"/>
  <c r="H59"/>
  <c r="H60"/>
  <c r="G56"/>
  <c r="G57"/>
  <c r="G58"/>
  <c r="G59"/>
  <c r="G60"/>
  <c r="F56"/>
  <c r="F57"/>
  <c r="F58"/>
  <c r="F59"/>
  <c r="F60"/>
  <c r="E56"/>
  <c r="E57"/>
  <c r="E58"/>
  <c r="E59"/>
  <c r="E60"/>
  <c r="D56"/>
  <c r="D57"/>
  <c r="D58"/>
  <c r="D59"/>
  <c r="D60"/>
  <c r="C56"/>
  <c r="C57"/>
  <c r="O57" s="1"/>
  <c r="C58"/>
  <c r="O58" s="1"/>
  <c r="C59"/>
  <c r="O59" s="1"/>
  <c r="C60"/>
  <c r="O60" s="1"/>
  <c r="O52"/>
  <c r="O53" s="1"/>
  <c r="C53"/>
  <c r="O48"/>
  <c r="O50" s="1"/>
  <c r="C50"/>
  <c r="N44"/>
  <c r="N45"/>
  <c r="N46"/>
  <c r="M45"/>
  <c r="M46"/>
  <c r="L44"/>
  <c r="L45"/>
  <c r="L46"/>
  <c r="K44"/>
  <c r="K45"/>
  <c r="K46"/>
  <c r="I44"/>
  <c r="J44"/>
  <c r="I45"/>
  <c r="J45"/>
  <c r="I46"/>
  <c r="J46"/>
  <c r="H44"/>
  <c r="H45"/>
  <c r="H46"/>
  <c r="G44"/>
  <c r="G45"/>
  <c r="G46"/>
  <c r="F44"/>
  <c r="F45"/>
  <c r="F46"/>
  <c r="E44"/>
  <c r="E45"/>
  <c r="E46"/>
  <c r="D44"/>
  <c r="D45"/>
  <c r="D46"/>
  <c r="C44"/>
  <c r="C45"/>
  <c r="O45" s="1"/>
  <c r="C46"/>
  <c r="O46" s="1"/>
  <c r="N38"/>
  <c r="N39"/>
  <c r="N40"/>
  <c r="N41"/>
  <c r="M38"/>
  <c r="M39"/>
  <c r="M40"/>
  <c r="M41"/>
  <c r="L38"/>
  <c r="L39"/>
  <c r="L40"/>
  <c r="L41"/>
  <c r="M44"/>
  <c r="M47" s="1"/>
  <c r="K38"/>
  <c r="K39"/>
  <c r="K40"/>
  <c r="K41"/>
  <c r="J38"/>
  <c r="J39"/>
  <c r="J40"/>
  <c r="J41"/>
  <c r="I38"/>
  <c r="I39"/>
  <c r="I40"/>
  <c r="I41"/>
  <c r="H38"/>
  <c r="H39"/>
  <c r="H40"/>
  <c r="H41"/>
  <c r="G38"/>
  <c r="G39"/>
  <c r="G40"/>
  <c r="G41"/>
  <c r="F38"/>
  <c r="F39"/>
  <c r="F40"/>
  <c r="F41"/>
  <c r="E38"/>
  <c r="E39"/>
  <c r="E40"/>
  <c r="E41"/>
  <c r="D38"/>
  <c r="D39"/>
  <c r="D40"/>
  <c r="D41"/>
  <c r="C38"/>
  <c r="C39"/>
  <c r="O39" s="1"/>
  <c r="C40"/>
  <c r="O40" s="1"/>
  <c r="C41"/>
  <c r="O41" s="1"/>
  <c r="N31"/>
  <c r="N32"/>
  <c r="N33"/>
  <c r="N34"/>
  <c r="N35"/>
  <c r="M31"/>
  <c r="M32"/>
  <c r="M33"/>
  <c r="M34"/>
  <c r="M35"/>
  <c r="L31"/>
  <c r="L32"/>
  <c r="L33"/>
  <c r="L34"/>
  <c r="L35"/>
  <c r="K31"/>
  <c r="K32"/>
  <c r="K33"/>
  <c r="K34"/>
  <c r="K35"/>
  <c r="J31"/>
  <c r="J32"/>
  <c r="J33"/>
  <c r="J34"/>
  <c r="J35"/>
  <c r="I31"/>
  <c r="I32"/>
  <c r="I33"/>
  <c r="I34"/>
  <c r="I35"/>
  <c r="H31"/>
  <c r="H32"/>
  <c r="H33"/>
  <c r="H34"/>
  <c r="H35"/>
  <c r="G31"/>
  <c r="G32"/>
  <c r="G33"/>
  <c r="G34"/>
  <c r="G35"/>
  <c r="F31"/>
  <c r="F32"/>
  <c r="F33"/>
  <c r="F34"/>
  <c r="F35"/>
  <c r="E31"/>
  <c r="E32"/>
  <c r="E33"/>
  <c r="E34"/>
  <c r="E35"/>
  <c r="D31"/>
  <c r="D32"/>
  <c r="D33"/>
  <c r="D34"/>
  <c r="D35"/>
  <c r="C31"/>
  <c r="C32"/>
  <c r="O32" s="1"/>
  <c r="C33"/>
  <c r="O33" s="1"/>
  <c r="C34"/>
  <c r="O34" s="1"/>
  <c r="C35"/>
  <c r="O35" s="1"/>
  <c r="N25"/>
  <c r="N26"/>
  <c r="N27"/>
  <c r="N28"/>
  <c r="M25"/>
  <c r="M26"/>
  <c r="M27"/>
  <c r="M28"/>
  <c r="L25"/>
  <c r="L26"/>
  <c r="L27"/>
  <c r="L28"/>
  <c r="K25"/>
  <c r="K26"/>
  <c r="K27"/>
  <c r="K28"/>
  <c r="J25"/>
  <c r="J26"/>
  <c r="J27"/>
  <c r="J28"/>
  <c r="I25"/>
  <c r="I26"/>
  <c r="I27"/>
  <c r="I28"/>
  <c r="H25"/>
  <c r="H26"/>
  <c r="H27"/>
  <c r="H28"/>
  <c r="G25"/>
  <c r="G26"/>
  <c r="G27"/>
  <c r="G28"/>
  <c r="F25"/>
  <c r="F26"/>
  <c r="F27"/>
  <c r="F28"/>
  <c r="E25"/>
  <c r="E26"/>
  <c r="E27"/>
  <c r="E28"/>
  <c r="D25"/>
  <c r="D26"/>
  <c r="D27"/>
  <c r="D28"/>
  <c r="C25"/>
  <c r="C26"/>
  <c r="O26" s="1"/>
  <c r="C27"/>
  <c r="O27" s="1"/>
  <c r="C28"/>
  <c r="O28" s="1"/>
  <c r="N18"/>
  <c r="N19"/>
  <c r="N20"/>
  <c r="N21"/>
  <c r="N22"/>
  <c r="M18"/>
  <c r="M19"/>
  <c r="M20"/>
  <c r="M21"/>
  <c r="M22"/>
  <c r="L18"/>
  <c r="L19"/>
  <c r="L20"/>
  <c r="L21"/>
  <c r="L22"/>
  <c r="K18"/>
  <c r="K19"/>
  <c r="K20"/>
  <c r="K21"/>
  <c r="K22"/>
  <c r="J18"/>
  <c r="J19"/>
  <c r="J20"/>
  <c r="J21"/>
  <c r="J22"/>
  <c r="I18"/>
  <c r="I19"/>
  <c r="I20"/>
  <c r="I21"/>
  <c r="I22"/>
  <c r="H18"/>
  <c r="H19"/>
  <c r="H20"/>
  <c r="H21"/>
  <c r="H22"/>
  <c r="G18"/>
  <c r="G19"/>
  <c r="G20"/>
  <c r="G21"/>
  <c r="F18"/>
  <c r="F19"/>
  <c r="F20"/>
  <c r="F21"/>
  <c r="F22"/>
  <c r="E18"/>
  <c r="E19"/>
  <c r="E20"/>
  <c r="E21"/>
  <c r="E22"/>
  <c r="D18"/>
  <c r="D19"/>
  <c r="D20"/>
  <c r="D21"/>
  <c r="D22"/>
  <c r="C18"/>
  <c r="C19"/>
  <c r="O19" s="1"/>
  <c r="C20"/>
  <c r="O20" s="1"/>
  <c r="C21"/>
  <c r="O21" s="1"/>
  <c r="C22"/>
  <c r="O22" s="1"/>
  <c r="N11"/>
  <c r="N12"/>
  <c r="N13"/>
  <c r="N14"/>
  <c r="M11"/>
  <c r="M12"/>
  <c r="M13"/>
  <c r="M14"/>
  <c r="M15"/>
  <c r="L11"/>
  <c r="L12"/>
  <c r="L13"/>
  <c r="L14"/>
  <c r="L15"/>
  <c r="K11"/>
  <c r="K12"/>
  <c r="K13"/>
  <c r="K14"/>
  <c r="K15"/>
  <c r="J11"/>
  <c r="J12"/>
  <c r="J13"/>
  <c r="J14"/>
  <c r="J15"/>
  <c r="H11"/>
  <c r="H12"/>
  <c r="I12"/>
  <c r="H13"/>
  <c r="I13"/>
  <c r="H14"/>
  <c r="I14"/>
  <c r="H15"/>
  <c r="I15"/>
  <c r="G11"/>
  <c r="G12"/>
  <c r="G13"/>
  <c r="G14"/>
  <c r="G15"/>
  <c r="F11"/>
  <c r="F12"/>
  <c r="F13"/>
  <c r="F14"/>
  <c r="F15"/>
  <c r="E11"/>
  <c r="E12"/>
  <c r="E13"/>
  <c r="E14"/>
  <c r="E15"/>
  <c r="D11"/>
  <c r="D12"/>
  <c r="D13"/>
  <c r="D14"/>
  <c r="D15"/>
  <c r="C11"/>
  <c r="C12"/>
  <c r="O12" s="1"/>
  <c r="C13"/>
  <c r="O13" s="1"/>
  <c r="C14"/>
  <c r="O14" s="1"/>
  <c r="C15"/>
  <c r="O15" s="1"/>
  <c r="N4"/>
  <c r="N5"/>
  <c r="N6"/>
  <c r="N7"/>
  <c r="N8"/>
  <c r="M4"/>
  <c r="M5"/>
  <c r="M6"/>
  <c r="M7"/>
  <c r="M8"/>
  <c r="L4"/>
  <c r="L5"/>
  <c r="L6"/>
  <c r="L7"/>
  <c r="L8"/>
  <c r="K4"/>
  <c r="K5"/>
  <c r="K6"/>
  <c r="K7"/>
  <c r="K8"/>
  <c r="J4"/>
  <c r="J5"/>
  <c r="J6"/>
  <c r="J7"/>
  <c r="J8"/>
  <c r="I4"/>
  <c r="I5"/>
  <c r="I6"/>
  <c r="I7"/>
  <c r="I8"/>
  <c r="H4"/>
  <c r="H5"/>
  <c r="H6"/>
  <c r="H7"/>
  <c r="H8"/>
  <c r="G4"/>
  <c r="G5"/>
  <c r="G6"/>
  <c r="H191" i="22" s="1"/>
  <c r="G7" i="5"/>
  <c r="H192" i="22" s="1"/>
  <c r="G8" i="5"/>
  <c r="F4"/>
  <c r="F5"/>
  <c r="F6"/>
  <c r="F7"/>
  <c r="F8"/>
  <c r="E4"/>
  <c r="E5"/>
  <c r="E6"/>
  <c r="E7"/>
  <c r="E8"/>
  <c r="D4"/>
  <c r="D5"/>
  <c r="D6"/>
  <c r="D7"/>
  <c r="D8"/>
  <c r="C4"/>
  <c r="C5"/>
  <c r="C6"/>
  <c r="C7"/>
  <c r="C8"/>
  <c r="D81" i="15"/>
  <c r="D94" s="1"/>
  <c r="B21" i="11" s="1"/>
  <c r="B27" s="1"/>
  <c r="C94" i="15"/>
  <c r="O70" i="14"/>
  <c r="C76"/>
  <c r="O62"/>
  <c r="D67"/>
  <c r="O50"/>
  <c r="C53"/>
  <c r="O43"/>
  <c r="C46"/>
  <c r="F44" i="15"/>
  <c r="F45"/>
  <c r="O22" i="14"/>
  <c r="C40"/>
  <c r="Y40" i="6"/>
  <c r="X40"/>
  <c r="W40"/>
  <c r="V40"/>
  <c r="U40"/>
  <c r="T40"/>
  <c r="S40"/>
  <c r="R40"/>
  <c r="Q40"/>
  <c r="P40"/>
  <c r="O40"/>
  <c r="K99" i="13"/>
  <c r="K115" s="1"/>
  <c r="M9" i="3" s="1"/>
  <c r="J99" i="13"/>
  <c r="J115" s="1"/>
  <c r="L9" i="3" s="1"/>
  <c r="I99" i="13"/>
  <c r="I115" s="1"/>
  <c r="K9" i="3" s="1"/>
  <c r="R9" s="1"/>
  <c r="N9" i="22"/>
  <c r="M9"/>
  <c r="L9"/>
  <c r="K9"/>
  <c r="J9"/>
  <c r="I9"/>
  <c r="H9"/>
  <c r="O9" s="1"/>
  <c r="N8"/>
  <c r="M8"/>
  <c r="L8"/>
  <c r="K8"/>
  <c r="J8"/>
  <c r="I8"/>
  <c r="H8"/>
  <c r="O8" s="1"/>
  <c r="M7"/>
  <c r="L7"/>
  <c r="K7"/>
  <c r="J7"/>
  <c r="I7"/>
  <c r="H7"/>
  <c r="G7"/>
  <c r="F7"/>
  <c r="E7"/>
  <c r="D7"/>
  <c r="C7"/>
  <c r="O7" s="1"/>
  <c r="N6"/>
  <c r="M7" i="21"/>
  <c r="L7"/>
  <c r="K7"/>
  <c r="J7"/>
  <c r="I7"/>
  <c r="H7"/>
  <c r="O7" s="1"/>
  <c r="N6"/>
  <c r="AN51" i="2"/>
  <c r="I75" i="5"/>
  <c r="AN47" i="2"/>
  <c r="K187" i="14"/>
  <c r="K221"/>
  <c r="O221" s="1"/>
  <c r="I219"/>
  <c r="O219" s="1"/>
  <c r="N187"/>
  <c r="AN44" i="2"/>
  <c r="O186" i="14"/>
  <c r="O185"/>
  <c r="AN36" i="2"/>
  <c r="AN32"/>
  <c r="AN31"/>
  <c r="AN26"/>
  <c r="AN25"/>
  <c r="AN20"/>
  <c r="AN19"/>
  <c r="AN17"/>
  <c r="AN15"/>
  <c r="AN14"/>
  <c r="I16" i="5"/>
  <c r="AN7" i="2"/>
  <c r="AN6"/>
  <c r="AN5"/>
  <c r="D3" i="4"/>
  <c r="U110" i="3"/>
  <c r="U108"/>
  <c r="U106"/>
  <c r="S106"/>
  <c r="U105"/>
  <c r="U102"/>
  <c r="U100"/>
  <c r="S100"/>
  <c r="U99"/>
  <c r="S99"/>
  <c r="U98"/>
  <c r="S98"/>
  <c r="U97"/>
  <c r="S97"/>
  <c r="U96"/>
  <c r="S96"/>
  <c r="U95"/>
  <c r="S95"/>
  <c r="U94"/>
  <c r="S94"/>
  <c r="U93"/>
  <c r="S93"/>
  <c r="U92"/>
  <c r="S92"/>
  <c r="U91"/>
  <c r="S91"/>
  <c r="U90"/>
  <c r="S90"/>
  <c r="U89"/>
  <c r="S89"/>
  <c r="U88"/>
  <c r="U81"/>
  <c r="O81" i="14"/>
  <c r="U77" i="3"/>
  <c r="U75"/>
  <c r="S75"/>
  <c r="O74" i="14"/>
  <c r="U74" i="3"/>
  <c r="S74"/>
  <c r="O73" i="14"/>
  <c r="U73" i="3"/>
  <c r="S73"/>
  <c r="O72" i="14"/>
  <c r="U72" i="3"/>
  <c r="S72"/>
  <c r="U71"/>
  <c r="N76" i="14"/>
  <c r="M76"/>
  <c r="L76"/>
  <c r="K76"/>
  <c r="J76"/>
  <c r="I76"/>
  <c r="H76"/>
  <c r="G76"/>
  <c r="F76"/>
  <c r="E76"/>
  <c r="D76"/>
  <c r="U68" i="3"/>
  <c r="U66"/>
  <c r="S66"/>
  <c r="U65"/>
  <c r="S65"/>
  <c r="O64" i="14"/>
  <c r="U64" i="3"/>
  <c r="S64"/>
  <c r="I67" i="14"/>
  <c r="H67"/>
  <c r="O63"/>
  <c r="U63" i="3"/>
  <c r="S63"/>
  <c r="N67" i="14"/>
  <c r="K67"/>
  <c r="J67"/>
  <c r="G67"/>
  <c r="U60" i="3"/>
  <c r="U58"/>
  <c r="S58"/>
  <c r="U57"/>
  <c r="U54"/>
  <c r="U52"/>
  <c r="O51" i="14"/>
  <c r="U51" i="3"/>
  <c r="N53" i="14"/>
  <c r="M53"/>
  <c r="L53"/>
  <c r="K53"/>
  <c r="J53"/>
  <c r="I53"/>
  <c r="H53"/>
  <c r="G53"/>
  <c r="F53"/>
  <c r="E53"/>
  <c r="D53"/>
  <c r="U50" i="3"/>
  <c r="U47"/>
  <c r="U45"/>
  <c r="O44" i="14"/>
  <c r="U44" i="3"/>
  <c r="N46" i="14"/>
  <c r="M46"/>
  <c r="L46"/>
  <c r="K46"/>
  <c r="J46"/>
  <c r="I46"/>
  <c r="H46"/>
  <c r="G46"/>
  <c r="F46"/>
  <c r="E46"/>
  <c r="D46"/>
  <c r="U41" i="3"/>
  <c r="U39"/>
  <c r="S39"/>
  <c r="U38"/>
  <c r="S38"/>
  <c r="O38" i="14"/>
  <c r="U37" i="3"/>
  <c r="S37"/>
  <c r="U36"/>
  <c r="S36"/>
  <c r="O36" i="14"/>
  <c r="U35" i="3"/>
  <c r="S35"/>
  <c r="U34"/>
  <c r="S34"/>
  <c r="O34" i="14"/>
  <c r="U33" i="3"/>
  <c r="S33"/>
  <c r="O33" i="14"/>
  <c r="U32" i="3"/>
  <c r="S32"/>
  <c r="O32" i="14"/>
  <c r="U31" i="3"/>
  <c r="O31" i="14"/>
  <c r="U30" i="3"/>
  <c r="S30"/>
  <c r="O30" i="14"/>
  <c r="U29" i="3"/>
  <c r="S29"/>
  <c r="O29" i="14"/>
  <c r="U28" i="3"/>
  <c r="S28"/>
  <c r="O28" i="14"/>
  <c r="U27" i="3"/>
  <c r="S27"/>
  <c r="O27" i="14"/>
  <c r="U26" i="3"/>
  <c r="S26"/>
  <c r="O26" i="14"/>
  <c r="U25" i="3"/>
  <c r="S25"/>
  <c r="O25" i="14"/>
  <c r="U24" i="3"/>
  <c r="S24"/>
  <c r="O24" i="14"/>
  <c r="U23" i="3"/>
  <c r="S23"/>
  <c r="O23" i="14"/>
  <c r="U22" i="3"/>
  <c r="S22"/>
  <c r="N40" i="14"/>
  <c r="M40"/>
  <c r="L40"/>
  <c r="K40"/>
  <c r="J40"/>
  <c r="I40"/>
  <c r="H40"/>
  <c r="G40"/>
  <c r="F40"/>
  <c r="E40"/>
  <c r="D40"/>
  <c r="U21" i="3"/>
  <c r="I45" i="15"/>
  <c r="U13" i="3"/>
  <c r="U12"/>
  <c r="O13" i="14"/>
  <c r="U11" i="3"/>
  <c r="U10"/>
  <c r="O11" i="14"/>
  <c r="B76" i="15"/>
  <c r="O7" i="10"/>
  <c r="C11"/>
  <c r="I44" i="15"/>
  <c r="I46" s="1"/>
  <c r="B48" s="1"/>
  <c r="B7" i="11" s="1"/>
  <c r="B46" i="15"/>
  <c r="N11" i="10"/>
  <c r="M11"/>
  <c r="L11"/>
  <c r="K11"/>
  <c r="J11"/>
  <c r="I11"/>
  <c r="H11"/>
  <c r="G11"/>
  <c r="F11"/>
  <c r="E11"/>
  <c r="E46" i="15"/>
  <c r="H46"/>
  <c r="G46"/>
  <c r="E74" l="1"/>
  <c r="E76" s="1"/>
  <c r="U9" i="3"/>
  <c r="P3" i="4"/>
  <c r="D6"/>
  <c r="P6" s="1"/>
  <c r="Q6" s="1"/>
  <c r="D9"/>
  <c r="F5" i="3"/>
  <c r="O42" i="6"/>
  <c r="O44"/>
  <c r="G5" i="3"/>
  <c r="P42" i="6"/>
  <c r="P44"/>
  <c r="H5" i="3"/>
  <c r="Q42" i="6"/>
  <c r="Q44"/>
  <c r="I5" i="3"/>
  <c r="R42" i="6"/>
  <c r="R44"/>
  <c r="J5" i="3"/>
  <c r="S42" i="6"/>
  <c r="S44"/>
  <c r="K5" i="3"/>
  <c r="T42" i="6"/>
  <c r="T44"/>
  <c r="L5" i="3"/>
  <c r="U42" i="6"/>
  <c r="U44"/>
  <c r="M5" i="3"/>
  <c r="V42" i="6"/>
  <c r="V44"/>
  <c r="N5" i="3"/>
  <c r="W42" i="6"/>
  <c r="W44"/>
  <c r="O5" i="3"/>
  <c r="X42" i="6"/>
  <c r="X44"/>
  <c r="P5" i="3"/>
  <c r="Y42" i="6"/>
  <c r="Y44"/>
  <c r="O8" i="5"/>
  <c r="C193" i="21"/>
  <c r="C193" i="22"/>
  <c r="O7" i="5"/>
  <c r="D192" i="21"/>
  <c r="D192" i="22"/>
  <c r="O6" i="5"/>
  <c r="D191" i="21"/>
  <c r="D191" i="22"/>
  <c r="O5" i="5"/>
  <c r="C190" i="21"/>
  <c r="C190" i="22"/>
  <c r="O4" i="5"/>
  <c r="C9"/>
  <c r="D193" i="21"/>
  <c r="D193" i="22"/>
  <c r="E192" i="21"/>
  <c r="E192" i="22"/>
  <c r="E191" i="21"/>
  <c r="E191" i="22"/>
  <c r="D190" i="21"/>
  <c r="D197" s="1"/>
  <c r="D190" i="22"/>
  <c r="D197" s="1"/>
  <c r="E193" i="21"/>
  <c r="E193" i="22"/>
  <c r="F192" i="21"/>
  <c r="F192" i="22"/>
  <c r="F191" i="21"/>
  <c r="F191" i="22"/>
  <c r="E190" i="21"/>
  <c r="E197" s="1"/>
  <c r="E190" i="22"/>
  <c r="E197" s="1"/>
  <c r="F193" i="21"/>
  <c r="F193" i="22"/>
  <c r="G192" i="21"/>
  <c r="G192" i="22"/>
  <c r="G191" i="21"/>
  <c r="G191" i="22"/>
  <c r="F190" i="21"/>
  <c r="F197" s="1"/>
  <c r="F190" i="22"/>
  <c r="G193" i="21"/>
  <c r="G193" i="22"/>
  <c r="G190" i="21"/>
  <c r="G197" s="1"/>
  <c r="G190" i="22"/>
  <c r="G197" s="1"/>
  <c r="H193" i="21"/>
  <c r="H193" i="22"/>
  <c r="I192" i="21"/>
  <c r="I192" i="22"/>
  <c r="I191" i="21"/>
  <c r="I191" i="22"/>
  <c r="H190" i="21"/>
  <c r="H197" s="1"/>
  <c r="H190" i="22"/>
  <c r="H197" s="1"/>
  <c r="H9" i="5"/>
  <c r="J189" i="21"/>
  <c r="I193"/>
  <c r="I193" i="22"/>
  <c r="J192" i="21"/>
  <c r="J192" i="22"/>
  <c r="J191" i="21"/>
  <c r="J191" i="22"/>
  <c r="I190" i="21"/>
  <c r="I197" s="1"/>
  <c r="I190" i="22"/>
  <c r="I9" i="5"/>
  <c r="K189" i="21"/>
  <c r="J193"/>
  <c r="J193" i="22"/>
  <c r="K192" i="21"/>
  <c r="K192" i="22"/>
  <c r="K191" i="21"/>
  <c r="K191" i="22"/>
  <c r="J190" i="21"/>
  <c r="J190" i="22"/>
  <c r="J197" s="1"/>
  <c r="J9" i="5"/>
  <c r="L189" i="21"/>
  <c r="K193"/>
  <c r="K193" i="22"/>
  <c r="L192" i="21"/>
  <c r="L192" i="22"/>
  <c r="L191" i="21"/>
  <c r="L191" i="22"/>
  <c r="K190" i="21"/>
  <c r="K190" i="22"/>
  <c r="K197" s="1"/>
  <c r="K9" i="5"/>
  <c r="M189" i="21"/>
  <c r="L193"/>
  <c r="L193" i="22"/>
  <c r="M192" i="21"/>
  <c r="M192" i="22"/>
  <c r="M191" i="21"/>
  <c r="M191" i="22"/>
  <c r="L190" i="21"/>
  <c r="L190" i="22"/>
  <c r="L9" i="5"/>
  <c r="N189" i="21"/>
  <c r="M193"/>
  <c r="M193" i="22"/>
  <c r="N192" i="21"/>
  <c r="N192" i="22"/>
  <c r="N191" i="21"/>
  <c r="N191" i="22"/>
  <c r="M190" i="21"/>
  <c r="M190" i="22"/>
  <c r="M197" s="1"/>
  <c r="N193" i="21"/>
  <c r="N193" i="22"/>
  <c r="N190" i="21"/>
  <c r="N190" i="22"/>
  <c r="N197" s="1"/>
  <c r="O11" i="5"/>
  <c r="O16" s="1"/>
  <c r="C16"/>
  <c r="O18"/>
  <c r="O23" s="1"/>
  <c r="C23"/>
  <c r="O25"/>
  <c r="O29" s="1"/>
  <c r="C29"/>
  <c r="O31"/>
  <c r="O36" s="1"/>
  <c r="C36"/>
  <c r="O38"/>
  <c r="O42" s="1"/>
  <c r="C42"/>
  <c r="O44"/>
  <c r="C47"/>
  <c r="O56"/>
  <c r="O61" s="1"/>
  <c r="H7" i="1" s="1"/>
  <c r="C61" i="5"/>
  <c r="O214" i="14"/>
  <c r="D226"/>
  <c r="O63" i="5"/>
  <c r="O68" s="1"/>
  <c r="C68"/>
  <c r="O70"/>
  <c r="O75" s="1"/>
  <c r="C75"/>
  <c r="C80" s="1"/>
  <c r="O192" i="14"/>
  <c r="O205" s="1"/>
  <c r="O237" s="1"/>
  <c r="D205"/>
  <c r="O167"/>
  <c r="O171" s="1"/>
  <c r="D65" i="15" s="1"/>
  <c r="D171" i="14"/>
  <c r="U6" i="3"/>
  <c r="C9" i="14"/>
  <c r="F130" i="13"/>
  <c r="E153"/>
  <c r="G8" i="3" s="1"/>
  <c r="D9" i="14" s="1"/>
  <c r="P46" i="13"/>
  <c r="P77" s="1"/>
  <c r="D77"/>
  <c r="Q77" s="1"/>
  <c r="D16" i="14"/>
  <c r="H15" i="3"/>
  <c r="D15" i="22"/>
  <c r="D15" i="14"/>
  <c r="H14" i="3"/>
  <c r="D14" i="22"/>
  <c r="B38" i="11"/>
  <c r="P40" i="14"/>
  <c r="O40"/>
  <c r="F46" i="15"/>
  <c r="P46" i="14"/>
  <c r="O46"/>
  <c r="P53"/>
  <c r="O53"/>
  <c r="P67"/>
  <c r="O67"/>
  <c r="D66" i="15" s="1"/>
  <c r="E66" s="1"/>
  <c r="P76" i="14"/>
  <c r="O76"/>
  <c r="D9" i="5"/>
  <c r="E9"/>
  <c r="F9"/>
  <c r="G9"/>
  <c r="M9"/>
  <c r="N9"/>
  <c r="D16"/>
  <c r="E16"/>
  <c r="F16"/>
  <c r="G16"/>
  <c r="H16"/>
  <c r="J16"/>
  <c r="K16"/>
  <c r="L16"/>
  <c r="M16"/>
  <c r="N16"/>
  <c r="D23"/>
  <c r="E23"/>
  <c r="F23"/>
  <c r="G23"/>
  <c r="H23"/>
  <c r="I23"/>
  <c r="J23"/>
  <c r="K23"/>
  <c r="L23"/>
  <c r="M23"/>
  <c r="N23"/>
  <c r="D29"/>
  <c r="E29"/>
  <c r="F29"/>
  <c r="G29"/>
  <c r="H29"/>
  <c r="I29"/>
  <c r="J29"/>
  <c r="K29"/>
  <c r="L29"/>
  <c r="M29"/>
  <c r="N29"/>
  <c r="D36"/>
  <c r="E36"/>
  <c r="F36"/>
  <c r="G36"/>
  <c r="H36"/>
  <c r="I36"/>
  <c r="J36"/>
  <c r="K36"/>
  <c r="L36"/>
  <c r="M36"/>
  <c r="N36"/>
  <c r="D42"/>
  <c r="E42"/>
  <c r="F42"/>
  <c r="G42"/>
  <c r="H42"/>
  <c r="I42"/>
  <c r="J42"/>
  <c r="K42"/>
  <c r="L42"/>
  <c r="M42"/>
  <c r="N42"/>
  <c r="D47"/>
  <c r="E47"/>
  <c r="F47"/>
  <c r="G47"/>
  <c r="H47"/>
  <c r="J47"/>
  <c r="I47"/>
  <c r="K47"/>
  <c r="L47"/>
  <c r="N47"/>
  <c r="D61"/>
  <c r="E61"/>
  <c r="F61"/>
  <c r="G61"/>
  <c r="H61"/>
  <c r="I61"/>
  <c r="J61"/>
  <c r="K61"/>
  <c r="L61"/>
  <c r="M61"/>
  <c r="N61"/>
  <c r="O187" i="14"/>
  <c r="O215"/>
  <c r="O216"/>
  <c r="O217"/>
  <c r="I226"/>
  <c r="O218"/>
  <c r="K226"/>
  <c r="O220"/>
  <c r="O222"/>
  <c r="O223"/>
  <c r="D68" i="5"/>
  <c r="E68"/>
  <c r="F68"/>
  <c r="G68"/>
  <c r="H68"/>
  <c r="I68"/>
  <c r="I80" s="1"/>
  <c r="J68"/>
  <c r="K68"/>
  <c r="L68"/>
  <c r="M68"/>
  <c r="N68"/>
  <c r="D75"/>
  <c r="D80" s="1"/>
  <c r="E75"/>
  <c r="E80" s="1"/>
  <c r="F75"/>
  <c r="F80" s="1"/>
  <c r="G75"/>
  <c r="G80" s="1"/>
  <c r="H75"/>
  <c r="H80" s="1"/>
  <c r="J75"/>
  <c r="J80" s="1"/>
  <c r="K75"/>
  <c r="K80" s="1"/>
  <c r="L75"/>
  <c r="L80" s="1"/>
  <c r="M75"/>
  <c r="M80" s="1"/>
  <c r="N75"/>
  <c r="N80" s="1"/>
  <c r="P99" i="13"/>
  <c r="P115" s="1"/>
  <c r="E15" i="14" l="1"/>
  <c r="I14" i="3"/>
  <c r="E14" i="22"/>
  <c r="E16" i="14"/>
  <c r="I15" i="3"/>
  <c r="E15" i="22"/>
  <c r="G130" i="13"/>
  <c r="F153"/>
  <c r="H8" i="3" s="1"/>
  <c r="E9" i="14" s="1"/>
  <c r="D15" i="10"/>
  <c r="P171" i="14"/>
  <c r="D172"/>
  <c r="P205"/>
  <c r="D237"/>
  <c r="I7" i="1"/>
  <c r="H10"/>
  <c r="I10" s="1"/>
  <c r="P44" i="5"/>
  <c r="Q44" s="1"/>
  <c r="R44" s="1"/>
  <c r="S44" s="1"/>
  <c r="T44" s="1"/>
  <c r="U44" s="1"/>
  <c r="V44" s="1"/>
  <c r="W44" s="1"/>
  <c r="X44" s="1"/>
  <c r="Y44" s="1"/>
  <c r="Z44" s="1"/>
  <c r="AA44" s="1"/>
  <c r="AB44" s="1"/>
  <c r="AC44" s="1"/>
  <c r="AD44" s="1"/>
  <c r="AE44" s="1"/>
  <c r="AF44" s="1"/>
  <c r="AG44" s="1"/>
  <c r="AH44" s="1"/>
  <c r="AI44" s="1"/>
  <c r="AJ44" s="1"/>
  <c r="AK44" s="1"/>
  <c r="AL44" s="1"/>
  <c r="AM44" s="1"/>
  <c r="AN44" s="1"/>
  <c r="AO44" s="1"/>
  <c r="AP44" s="1"/>
  <c r="AQ44" s="1"/>
  <c r="AR44" s="1"/>
  <c r="AS44" s="1"/>
  <c r="AT44" s="1"/>
  <c r="AU44" s="1"/>
  <c r="AV44" s="1"/>
  <c r="AW44" s="1"/>
  <c r="AX44" s="1"/>
  <c r="AY44" s="1"/>
  <c r="AZ44" s="1"/>
  <c r="BA44" s="1"/>
  <c r="BB44" s="1"/>
  <c r="BC44" s="1"/>
  <c r="BD44" s="1"/>
  <c r="BE44" s="1"/>
  <c r="BF44" s="1"/>
  <c r="BG44" s="1"/>
  <c r="BH44" s="1"/>
  <c r="BI44" s="1"/>
  <c r="BJ44" s="1"/>
  <c r="BK44" s="1"/>
  <c r="BL44" s="1"/>
  <c r="BM44" s="1"/>
  <c r="BN44" s="1"/>
  <c r="BO44" s="1"/>
  <c r="BP44" s="1"/>
  <c r="BQ44" s="1"/>
  <c r="BR44" s="1"/>
  <c r="BS44" s="1"/>
  <c r="BT44" s="1"/>
  <c r="BU44" s="1"/>
  <c r="BV44" s="1"/>
  <c r="BW44" s="1"/>
  <c r="BX44" s="1"/>
  <c r="BY44" s="1"/>
  <c r="BZ44" s="1"/>
  <c r="CA44" s="1"/>
  <c r="CB44" s="1"/>
  <c r="CC44" s="1"/>
  <c r="CD44" s="1"/>
  <c r="CE44" s="1"/>
  <c r="CF44" s="1"/>
  <c r="CG44" s="1"/>
  <c r="O47"/>
  <c r="O189" i="21"/>
  <c r="J197"/>
  <c r="O9" i="5"/>
  <c r="B7" i="1" s="1"/>
  <c r="C189" i="22"/>
  <c r="O190" i="21"/>
  <c r="C197"/>
  <c r="P197" s="1"/>
  <c r="M6" i="14"/>
  <c r="M6" i="21"/>
  <c r="M6" i="22"/>
  <c r="L6" i="14"/>
  <c r="L6" i="21"/>
  <c r="L6" i="22"/>
  <c r="K6" i="14"/>
  <c r="K6" i="21"/>
  <c r="K6" i="22"/>
  <c r="J6" i="14"/>
  <c r="J6" i="21"/>
  <c r="J6" i="22"/>
  <c r="I6" i="14"/>
  <c r="I6" i="21"/>
  <c r="I6" i="22"/>
  <c r="H6" i="14"/>
  <c r="H6" i="21"/>
  <c r="H6" i="22"/>
  <c r="G6" i="14"/>
  <c r="G6" i="22"/>
  <c r="F6" i="14"/>
  <c r="F6" i="22"/>
  <c r="E6" i="14"/>
  <c r="E18" s="1"/>
  <c r="E78" s="1"/>
  <c r="E83" s="1"/>
  <c r="E16" i="10" s="1"/>
  <c r="E21" s="1"/>
  <c r="H18" i="3"/>
  <c r="E6" i="22"/>
  <c r="E18" s="1"/>
  <c r="E77" s="1"/>
  <c r="E107" s="1"/>
  <c r="D6" i="14"/>
  <c r="D18" s="1"/>
  <c r="D78" s="1"/>
  <c r="D83" s="1"/>
  <c r="D16" i="10" s="1"/>
  <c r="G18" i="3"/>
  <c r="D6" i="22"/>
  <c r="D18" s="1"/>
  <c r="D77" s="1"/>
  <c r="D107" s="1"/>
  <c r="C6" i="14"/>
  <c r="R5" i="3"/>
  <c r="F18"/>
  <c r="C6" i="22"/>
  <c r="D43" i="4"/>
  <c r="Q3"/>
  <c r="Q7"/>
  <c r="Q8"/>
  <c r="P9"/>
  <c r="Q10"/>
  <c r="Q11"/>
  <c r="Q13"/>
  <c r="Q14"/>
  <c r="Q15"/>
  <c r="Q16"/>
  <c r="Q17"/>
  <c r="Q18"/>
  <c r="Q19"/>
  <c r="Q21"/>
  <c r="Q23"/>
  <c r="Q24"/>
  <c r="Q25"/>
  <c r="Q27"/>
  <c r="Q28"/>
  <c r="Q29"/>
  <c r="Q31"/>
  <c r="Q32"/>
  <c r="Q33"/>
  <c r="Q34"/>
  <c r="Q36"/>
  <c r="Q37"/>
  <c r="Q40"/>
  <c r="D68" i="15"/>
  <c r="B59" s="1"/>
  <c r="I59" s="1"/>
  <c r="O80" i="5"/>
  <c r="C65" i="15" s="1"/>
  <c r="J7" i="1"/>
  <c r="P226" i="14"/>
  <c r="O226"/>
  <c r="F7" i="1"/>
  <c r="D7"/>
  <c r="N197" i="21"/>
  <c r="M197"/>
  <c r="L197"/>
  <c r="K197"/>
  <c r="O190" i="22"/>
  <c r="O191"/>
  <c r="O191" i="21"/>
  <c r="O192" i="22"/>
  <c r="O192" i="21"/>
  <c r="O193" i="22"/>
  <c r="O193" i="21"/>
  <c r="E7" i="1" l="1"/>
  <c r="D10"/>
  <c r="E10" s="1"/>
  <c r="G7"/>
  <c r="F10"/>
  <c r="G10" s="1"/>
  <c r="K7"/>
  <c r="P7" s="1"/>
  <c r="Q7" s="1"/>
  <c r="L7"/>
  <c r="J10"/>
  <c r="K10" s="1"/>
  <c r="P10" s="1"/>
  <c r="Q10" s="1"/>
  <c r="E65" i="15"/>
  <c r="E68" s="1"/>
  <c r="C68"/>
  <c r="B58" s="1"/>
  <c r="E3" i="9"/>
  <c r="Q9" i="4"/>
  <c r="F3" i="9" s="1"/>
  <c r="P43" i="4"/>
  <c r="O6" i="22"/>
  <c r="C18"/>
  <c r="F79" i="3"/>
  <c r="D12" i="4"/>
  <c r="U5" i="3"/>
  <c r="O6" i="14"/>
  <c r="C18"/>
  <c r="G79" i="3"/>
  <c r="E12" i="4"/>
  <c r="E20" s="1"/>
  <c r="H79" i="3"/>
  <c r="F12" i="4"/>
  <c r="F20" s="1"/>
  <c r="O6" i="21"/>
  <c r="F189" i="22"/>
  <c r="C197"/>
  <c r="P197" s="1"/>
  <c r="C7" i="1"/>
  <c r="B10"/>
  <c r="C10" s="1"/>
  <c r="D8" i="10"/>
  <c r="P237" i="14"/>
  <c r="D21" i="10"/>
  <c r="O15"/>
  <c r="H130" i="13"/>
  <c r="G153"/>
  <c r="I8" i="3" s="1"/>
  <c r="F16" i="14"/>
  <c r="J15" i="3"/>
  <c r="F15" i="22"/>
  <c r="F15" i="14"/>
  <c r="J14" i="3"/>
  <c r="F14" i="22"/>
  <c r="F18"/>
  <c r="F77" s="1"/>
  <c r="F107" s="1"/>
  <c r="O197" i="21"/>
  <c r="Q237" i="14"/>
  <c r="G15" l="1"/>
  <c r="K14" i="3"/>
  <c r="G14" i="22"/>
  <c r="G16" i="14"/>
  <c r="K15" i="3"/>
  <c r="G15" i="22"/>
  <c r="F9" i="14"/>
  <c r="I18" i="3"/>
  <c r="I130" i="13"/>
  <c r="H153"/>
  <c r="J8" i="3" s="1"/>
  <c r="O8" i="10"/>
  <c r="D11"/>
  <c r="I189" i="22"/>
  <c r="F197"/>
  <c r="F22" i="4"/>
  <c r="F26" s="1"/>
  <c r="F46"/>
  <c r="F50"/>
  <c r="H83" i="3"/>
  <c r="H113"/>
  <c r="E22" i="4"/>
  <c r="E26" s="1"/>
  <c r="E46"/>
  <c r="E50"/>
  <c r="G83" i="3"/>
  <c r="G113"/>
  <c r="C78" i="14"/>
  <c r="D20" i="4"/>
  <c r="F83" i="3"/>
  <c r="F113"/>
  <c r="C77" i="22"/>
  <c r="I58" i="15"/>
  <c r="I60" s="1"/>
  <c r="B13" i="11" s="1"/>
  <c r="B60" i="15"/>
  <c r="M7" i="1"/>
  <c r="L10"/>
  <c r="M10" l="1"/>
  <c r="C107" i="22"/>
  <c r="D46" i="4"/>
  <c r="D50"/>
  <c r="D22"/>
  <c r="D26" s="1"/>
  <c r="C83" i="14"/>
  <c r="E30" i="4"/>
  <c r="E35"/>
  <c r="E39" s="1"/>
  <c r="F30"/>
  <c r="F35"/>
  <c r="F39" s="1"/>
  <c r="L189" i="22"/>
  <c r="L197" s="1"/>
  <c r="I197"/>
  <c r="O189"/>
  <c r="O197" s="1"/>
  <c r="B28" i="15"/>
  <c r="B30" s="1"/>
  <c r="B37" s="1"/>
  <c r="B5" i="11" s="1"/>
  <c r="O11" i="10"/>
  <c r="G9" i="14"/>
  <c r="G18" s="1"/>
  <c r="G78" s="1"/>
  <c r="G83" s="1"/>
  <c r="G16" i="10" s="1"/>
  <c r="G21" s="1"/>
  <c r="J18" i="3"/>
  <c r="J130" i="13"/>
  <c r="I153"/>
  <c r="K8" i="3" s="1"/>
  <c r="I79"/>
  <c r="G12" i="4"/>
  <c r="F18" i="14"/>
  <c r="H16"/>
  <c r="L15" i="3"/>
  <c r="H15" i="21"/>
  <c r="H15" i="22"/>
  <c r="G18"/>
  <c r="H15" i="14"/>
  <c r="L14" i="3"/>
  <c r="H14" i="21"/>
  <c r="H14" i="22"/>
  <c r="H18" s="1"/>
  <c r="H77" s="1"/>
  <c r="H107" s="1"/>
  <c r="H18" i="21" l="1"/>
  <c r="I15" i="14"/>
  <c r="M14" i="3"/>
  <c r="I14" i="21"/>
  <c r="I14" i="22"/>
  <c r="G77"/>
  <c r="I16" i="14"/>
  <c r="M15" i="3"/>
  <c r="I15" i="21"/>
  <c r="I15" i="22"/>
  <c r="F78" i="14"/>
  <c r="G20" i="4"/>
  <c r="I83" i="3"/>
  <c r="I113"/>
  <c r="H9" i="14"/>
  <c r="K18" i="3"/>
  <c r="K130" i="13"/>
  <c r="J153"/>
  <c r="L8" i="3" s="1"/>
  <c r="J79"/>
  <c r="H12" i="4"/>
  <c r="H20" s="1"/>
  <c r="C16" i="10"/>
  <c r="D30" i="4"/>
  <c r="D35"/>
  <c r="D39" s="1"/>
  <c r="D41" l="1"/>
  <c r="E38" s="1"/>
  <c r="E41" s="1"/>
  <c r="F38" s="1"/>
  <c r="F41" s="1"/>
  <c r="G38" s="1"/>
  <c r="C21" i="10"/>
  <c r="H22" i="4"/>
  <c r="H26" s="1"/>
  <c r="H46"/>
  <c r="H50"/>
  <c r="J83" i="3"/>
  <c r="J113"/>
  <c r="I9" i="14"/>
  <c r="I18" s="1"/>
  <c r="I78" s="1"/>
  <c r="I83" s="1"/>
  <c r="I16" i="10" s="1"/>
  <c r="I21" s="1"/>
  <c r="L18" i="3"/>
  <c r="L130" i="13"/>
  <c r="K153"/>
  <c r="M8" i="3" s="1"/>
  <c r="K79"/>
  <c r="I12" i="4"/>
  <c r="I20" s="1"/>
  <c r="H18" i="14"/>
  <c r="G22" i="4"/>
  <c r="G26" s="1"/>
  <c r="G46"/>
  <c r="G50"/>
  <c r="F83" i="14"/>
  <c r="J16"/>
  <c r="N15" i="3"/>
  <c r="J15" i="21"/>
  <c r="J15" i="22"/>
  <c r="G107"/>
  <c r="J15" i="14"/>
  <c r="N14" i="3"/>
  <c r="J14" i="21"/>
  <c r="J18" s="1"/>
  <c r="J77" s="1"/>
  <c r="J107" s="1"/>
  <c r="J14" i="22"/>
  <c r="J18" s="1"/>
  <c r="J77" s="1"/>
  <c r="J107" s="1"/>
  <c r="H77" i="21"/>
  <c r="I18" i="22"/>
  <c r="I18" i="21"/>
  <c r="I77" s="1"/>
  <c r="I107" s="1"/>
  <c r="I77" i="22" l="1"/>
  <c r="H107" i="21"/>
  <c r="K15" i="14"/>
  <c r="O14" i="3"/>
  <c r="K14" i="21"/>
  <c r="K14" i="22"/>
  <c r="K16" i="14"/>
  <c r="O15" i="3"/>
  <c r="K15" i="21"/>
  <c r="K15" i="22"/>
  <c r="F16" i="10"/>
  <c r="G30" i="4"/>
  <c r="G35"/>
  <c r="G39" s="1"/>
  <c r="H78" i="14"/>
  <c r="I22" i="4"/>
  <c r="I26" s="1"/>
  <c r="I46"/>
  <c r="I50"/>
  <c r="K83" i="3"/>
  <c r="K113"/>
  <c r="J9" i="14"/>
  <c r="M18" i="3"/>
  <c r="M130" i="13"/>
  <c r="L153"/>
  <c r="N8" i="3" s="1"/>
  <c r="L79"/>
  <c r="J12" i="4"/>
  <c r="H30"/>
  <c r="H35"/>
  <c r="H39" s="1"/>
  <c r="C23" i="10"/>
  <c r="D4" s="1"/>
  <c r="D23" s="1"/>
  <c r="E4" s="1"/>
  <c r="E23" s="1"/>
  <c r="F4" s="1"/>
  <c r="G41" i="4"/>
  <c r="H38" s="1"/>
  <c r="H41" s="1"/>
  <c r="I38" s="1"/>
  <c r="J20" l="1"/>
  <c r="L83" i="3"/>
  <c r="L113"/>
  <c r="K9" i="14"/>
  <c r="K18" s="1"/>
  <c r="K78" s="1"/>
  <c r="K83" s="1"/>
  <c r="K16" i="10" s="1"/>
  <c r="K21" s="1"/>
  <c r="N18" i="3"/>
  <c r="N130" i="13"/>
  <c r="M153"/>
  <c r="O8" i="3" s="1"/>
  <c r="M79"/>
  <c r="K12" i="4"/>
  <c r="K20" s="1"/>
  <c r="J18" i="14"/>
  <c r="I30" i="4"/>
  <c r="I35"/>
  <c r="I39" s="1"/>
  <c r="H83" i="14"/>
  <c r="F21" i="10"/>
  <c r="L16" i="14"/>
  <c r="P15" i="3"/>
  <c r="L15" i="21"/>
  <c r="L15" i="22"/>
  <c r="K18" i="21"/>
  <c r="L15" i="14"/>
  <c r="P14" i="3"/>
  <c r="L14" i="21"/>
  <c r="L18" s="1"/>
  <c r="L77" s="1"/>
  <c r="L107" s="1"/>
  <c r="L14" i="22"/>
  <c r="L18" s="1"/>
  <c r="L77" s="1"/>
  <c r="L107" s="1"/>
  <c r="I107"/>
  <c r="I41" i="4"/>
  <c r="J38" s="1"/>
  <c r="F23" i="10"/>
  <c r="G4" s="1"/>
  <c r="G23" s="1"/>
  <c r="H4" s="1"/>
  <c r="K18" i="22"/>
  <c r="K77" l="1"/>
  <c r="M15" i="14"/>
  <c r="Q14" i="3"/>
  <c r="M14" i="21"/>
  <c r="M14" i="22"/>
  <c r="K77" i="21"/>
  <c r="M16" i="14"/>
  <c r="Q15" i="3"/>
  <c r="M15" i="21"/>
  <c r="M15" i="22"/>
  <c r="H16" i="10"/>
  <c r="J78" i="14"/>
  <c r="K22" i="4"/>
  <c r="K26" s="1"/>
  <c r="K46"/>
  <c r="K50"/>
  <c r="M83" i="3"/>
  <c r="M113"/>
  <c r="L9" i="14"/>
  <c r="L18" s="1"/>
  <c r="L78" s="1"/>
  <c r="L83" s="1"/>
  <c r="L16" i="10" s="1"/>
  <c r="L21" s="1"/>
  <c r="O18" i="3"/>
  <c r="O130" i="13"/>
  <c r="O153" s="1"/>
  <c r="Q8" i="3" s="1"/>
  <c r="N153" i="13"/>
  <c r="P8" i="3" s="1"/>
  <c r="N79"/>
  <c r="L12" i="4"/>
  <c r="L20" s="1"/>
  <c r="J22"/>
  <c r="J26" s="1"/>
  <c r="J46"/>
  <c r="J50"/>
  <c r="J30" l="1"/>
  <c r="J35"/>
  <c r="J39" s="1"/>
  <c r="L22"/>
  <c r="L26" s="1"/>
  <c r="L46"/>
  <c r="L50"/>
  <c r="N83" i="3"/>
  <c r="N113"/>
  <c r="M9" i="14"/>
  <c r="M18" s="1"/>
  <c r="M78" s="1"/>
  <c r="M83" s="1"/>
  <c r="M16" i="10" s="1"/>
  <c r="M21" s="1"/>
  <c r="P18" i="3"/>
  <c r="N9" i="14"/>
  <c r="Q18" i="3"/>
  <c r="R8"/>
  <c r="O79"/>
  <c r="M12" i="4"/>
  <c r="M20" s="1"/>
  <c r="K30"/>
  <c r="K35"/>
  <c r="K39" s="1"/>
  <c r="J83" i="14"/>
  <c r="H21" i="10"/>
  <c r="N16" i="14"/>
  <c r="O16" s="1"/>
  <c r="N15" i="21"/>
  <c r="O15" s="1"/>
  <c r="N15" i="22"/>
  <c r="O15" s="1"/>
  <c r="R15" i="3"/>
  <c r="K107" i="21"/>
  <c r="N15" i="14"/>
  <c r="O15" s="1"/>
  <c r="N14" i="21"/>
  <c r="N14" i="22"/>
  <c r="R14" i="3"/>
  <c r="K107" i="22"/>
  <c r="M18"/>
  <c r="M18" i="21"/>
  <c r="M77" l="1"/>
  <c r="M77" i="22"/>
  <c r="C74" i="15"/>
  <c r="U14" i="3"/>
  <c r="I30" i="24"/>
  <c r="N18" i="22"/>
  <c r="N77" s="1"/>
  <c r="N107" s="1"/>
  <c r="O14"/>
  <c r="O18" s="1"/>
  <c r="O77" s="1"/>
  <c r="O107" s="1"/>
  <c r="N18" i="21"/>
  <c r="N77" s="1"/>
  <c r="N107" s="1"/>
  <c r="O14"/>
  <c r="O18" s="1"/>
  <c r="O77" s="1"/>
  <c r="O107" s="1"/>
  <c r="U15" i="3"/>
  <c r="I31" i="24"/>
  <c r="H23" i="10"/>
  <c r="I4" s="1"/>
  <c r="I23" s="1"/>
  <c r="J4" s="1"/>
  <c r="J16"/>
  <c r="M22" i="4"/>
  <c r="M26" s="1"/>
  <c r="M46"/>
  <c r="M50"/>
  <c r="O83" i="3"/>
  <c r="O113"/>
  <c r="D74" i="15"/>
  <c r="U8" i="3"/>
  <c r="U18" s="1"/>
  <c r="R18"/>
  <c r="Q79"/>
  <c r="O12" i="4"/>
  <c r="N18" i="14"/>
  <c r="O9"/>
  <c r="P79" i="3"/>
  <c r="N12" i="4"/>
  <c r="N20" s="1"/>
  <c r="L30"/>
  <c r="L35"/>
  <c r="L39" s="1"/>
  <c r="J41"/>
  <c r="K38" s="1"/>
  <c r="K41" s="1"/>
  <c r="L38" s="1"/>
  <c r="L41" s="1"/>
  <c r="M38" s="1"/>
  <c r="C75" i="15"/>
  <c r="N22" i="4" l="1"/>
  <c r="N26" s="1"/>
  <c r="N46"/>
  <c r="N50"/>
  <c r="P83" i="3"/>
  <c r="P113"/>
  <c r="D75" i="15"/>
  <c r="O18" i="14"/>
  <c r="O78" s="1"/>
  <c r="O83" s="1"/>
  <c r="N78"/>
  <c r="P18"/>
  <c r="O20" i="4"/>
  <c r="P12"/>
  <c r="Q83" i="3"/>
  <c r="Q113"/>
  <c r="V113" s="1"/>
  <c r="V79"/>
  <c r="W110" s="1"/>
  <c r="S7"/>
  <c r="S10"/>
  <c r="S11"/>
  <c r="S12"/>
  <c r="S13"/>
  <c r="S31"/>
  <c r="S51"/>
  <c r="S52"/>
  <c r="R79"/>
  <c r="S9"/>
  <c r="S6"/>
  <c r="S5"/>
  <c r="M30" i="4"/>
  <c r="M35"/>
  <c r="M39" s="1"/>
  <c r="J21" i="10"/>
  <c r="C76" i="15"/>
  <c r="G74"/>
  <c r="M107" i="22"/>
  <c r="P77"/>
  <c r="M107" i="21"/>
  <c r="P107" s="1"/>
  <c r="P77"/>
  <c r="G75" i="15"/>
  <c r="M41" i="4"/>
  <c r="N38" s="1"/>
  <c r="S8" i="3"/>
  <c r="D76" i="15"/>
  <c r="J23" i="10"/>
  <c r="K4" s="1"/>
  <c r="K23" s="1"/>
  <c r="L4" s="1"/>
  <c r="L23" s="1"/>
  <c r="M4" s="1"/>
  <c r="M23" s="1"/>
  <c r="N4" s="1"/>
  <c r="S15" i="3"/>
  <c r="P107" i="22"/>
  <c r="I34" i="24"/>
  <c r="S14" i="3"/>
  <c r="P18" i="22"/>
  <c r="P18" i="21"/>
  <c r="U79" i="3" l="1"/>
  <c r="R83"/>
  <c r="R113"/>
  <c r="L13" i="1"/>
  <c r="L22" s="1"/>
  <c r="L24" s="1"/>
  <c r="L28" s="1"/>
  <c r="L32" s="1"/>
  <c r="L37" s="1"/>
  <c r="L41" s="1"/>
  <c r="L43" s="1"/>
  <c r="B39" i="11" s="1"/>
  <c r="B41" s="1"/>
  <c r="Q12" i="4"/>
  <c r="P20"/>
  <c r="O22"/>
  <c r="O26" s="1"/>
  <c r="O46"/>
  <c r="O50"/>
  <c r="N83" i="14"/>
  <c r="P78"/>
  <c r="N30" i="4"/>
  <c r="N35"/>
  <c r="N39" s="1"/>
  <c r="N41"/>
  <c r="O38" s="1"/>
  <c r="G76" i="15"/>
  <c r="B14" i="11" s="1"/>
  <c r="B16" s="1"/>
  <c r="S18" i="3"/>
  <c r="N16" i="10" l="1"/>
  <c r="P83" i="14"/>
  <c r="O30" i="4"/>
  <c r="O35"/>
  <c r="O39" s="1"/>
  <c r="P39" s="1"/>
  <c r="E14" i="9"/>
  <c r="F14" s="1"/>
  <c r="E16"/>
  <c r="F16" s="1"/>
  <c r="E19"/>
  <c r="F19" s="1"/>
  <c r="E21"/>
  <c r="F21" s="1"/>
  <c r="Q20" i="4"/>
  <c r="P46"/>
  <c r="P50"/>
  <c r="P22"/>
  <c r="T7" i="3"/>
  <c r="T10"/>
  <c r="T11"/>
  <c r="T12"/>
  <c r="T13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1"/>
  <c r="T44"/>
  <c r="T45"/>
  <c r="T47"/>
  <c r="T50"/>
  <c r="T51"/>
  <c r="T52"/>
  <c r="T54"/>
  <c r="T57"/>
  <c r="T58"/>
  <c r="T60"/>
  <c r="T63"/>
  <c r="T64"/>
  <c r="T65"/>
  <c r="T66"/>
  <c r="T68"/>
  <c r="T71"/>
  <c r="T72"/>
  <c r="T73"/>
  <c r="T74"/>
  <c r="T75"/>
  <c r="T77"/>
  <c r="T81"/>
  <c r="T88"/>
  <c r="T89"/>
  <c r="T90"/>
  <c r="T91"/>
  <c r="T92"/>
  <c r="T93"/>
  <c r="T94"/>
  <c r="T95"/>
  <c r="T96"/>
  <c r="T97"/>
  <c r="T98"/>
  <c r="T99"/>
  <c r="T100"/>
  <c r="T102"/>
  <c r="T105"/>
  <c r="T106"/>
  <c r="T108"/>
  <c r="T110"/>
  <c r="T113"/>
  <c r="U113"/>
  <c r="T9"/>
  <c r="T6"/>
  <c r="T5"/>
  <c r="T14"/>
  <c r="T15"/>
  <c r="T8"/>
  <c r="S81"/>
  <c r="S83"/>
  <c r="T83"/>
  <c r="U83"/>
  <c r="O41" i="4"/>
  <c r="T79" i="3"/>
  <c r="Q22" i="4" l="1"/>
  <c r="F5" i="9" s="1"/>
  <c r="P26" i="4"/>
  <c r="Q39"/>
  <c r="P41"/>
  <c r="N21" i="10"/>
  <c r="O16"/>
  <c r="T18" i="3"/>
  <c r="N23" i="10" l="1"/>
  <c r="O21"/>
  <c r="O23" s="1"/>
  <c r="E5" i="9"/>
  <c r="Q26" i="4"/>
  <c r="P30"/>
  <c r="E7" i="9" l="1"/>
  <c r="Q30" i="4"/>
  <c r="F7" i="9" s="1"/>
  <c r="P35" i="4"/>
  <c r="B8" i="11"/>
  <c r="B9" s="1"/>
  <c r="B18" s="1"/>
  <c r="B34" s="1"/>
  <c r="B43" s="1"/>
  <c r="B7" i="15"/>
  <c r="E9" i="9" l="1"/>
  <c r="Q35" i="4"/>
  <c r="F9" i="9" s="1"/>
</calcChain>
</file>

<file path=xl/comments1.xml><?xml version="1.0" encoding="utf-8"?>
<comments xmlns="http://schemas.openxmlformats.org/spreadsheetml/2006/main">
  <authors>
    <author>Accounts</author>
  </authors>
  <commentList>
    <comment ref="B21" authorId="0">
      <text>
        <r>
          <rPr>
            <b/>
            <sz val="8"/>
            <color indexed="81"/>
            <rFont val="Tahoma"/>
            <family val="2"/>
          </rPr>
          <t>Accounts:</t>
        </r>
        <r>
          <rPr>
            <sz val="8"/>
            <color indexed="81"/>
            <rFont val="Tahoma"/>
            <family val="2"/>
          </rPr>
          <t xml:space="preserve">
ETD Share
</t>
        </r>
      </text>
    </comment>
  </commentList>
</comments>
</file>

<file path=xl/comments2.xml><?xml version="1.0" encoding="utf-8"?>
<comments xmlns="http://schemas.openxmlformats.org/spreadsheetml/2006/main">
  <authors>
    <author>Accounts</author>
  </authors>
  <commentList>
    <comment ref="B21" authorId="0">
      <text>
        <r>
          <rPr>
            <b/>
            <sz val="8"/>
            <color indexed="81"/>
            <rFont val="Tahoma"/>
            <family val="2"/>
          </rPr>
          <t>Accounts:</t>
        </r>
        <r>
          <rPr>
            <sz val="8"/>
            <color indexed="81"/>
            <rFont val="Tahoma"/>
            <family val="2"/>
          </rPr>
          <t xml:space="preserve">
ETD Share
</t>
        </r>
      </text>
    </comment>
  </commentList>
</comments>
</file>

<file path=xl/sharedStrings.xml><?xml version="1.0" encoding="utf-8"?>
<sst xmlns="http://schemas.openxmlformats.org/spreadsheetml/2006/main" count="2243" uniqueCount="857">
  <si>
    <t>Day Classes</t>
  </si>
  <si>
    <t>Evening Classes</t>
  </si>
  <si>
    <t>SDA</t>
  </si>
  <si>
    <t>%</t>
  </si>
  <si>
    <t>Technical</t>
  </si>
  <si>
    <t>Total</t>
  </si>
  <si>
    <t>Net sales</t>
  </si>
  <si>
    <t>Less:</t>
  </si>
  <si>
    <t>Cost of Sales</t>
  </si>
  <si>
    <t>Gross Income / (Loss)</t>
  </si>
  <si>
    <t>Less: Operating Expenses</t>
  </si>
  <si>
    <t>Staff Costs</t>
  </si>
  <si>
    <t>Administrative Costs</t>
  </si>
  <si>
    <t>Professional Charges</t>
  </si>
  <si>
    <t>Insurance Costs</t>
  </si>
  <si>
    <t>Marketing Costs</t>
  </si>
  <si>
    <t>Finance Costs</t>
  </si>
  <si>
    <t>Total Operating Costs</t>
  </si>
  <si>
    <t>Operating Profit / (Loss)</t>
  </si>
  <si>
    <t>Add: Other Income</t>
  </si>
  <si>
    <t>Operating Cash Profit / (Loss)</t>
  </si>
  <si>
    <t>Director's Fees</t>
  </si>
  <si>
    <t>Cash Profit / (Loss)</t>
  </si>
  <si>
    <t>Depreciation</t>
  </si>
  <si>
    <t>Amortisation</t>
  </si>
  <si>
    <t xml:space="preserve">Net Profit / (Loss) </t>
  </si>
  <si>
    <t>Appropriations:</t>
  </si>
  <si>
    <t>Retained earnings B/F</t>
  </si>
  <si>
    <t>Profit for the year</t>
  </si>
  <si>
    <t>Retained earnings C/F</t>
  </si>
  <si>
    <t>Note</t>
  </si>
  <si>
    <t>Units</t>
  </si>
  <si>
    <t>Rate</t>
  </si>
  <si>
    <t>Value</t>
  </si>
  <si>
    <t>Public              (Units=Seats)</t>
  </si>
  <si>
    <t>Private          (Units=Classes)</t>
  </si>
  <si>
    <t>Sub Total</t>
  </si>
  <si>
    <t>Total Income -Day Classes</t>
  </si>
  <si>
    <t>Total Income -Even.Classes</t>
  </si>
  <si>
    <t>Total Income -Day &amp; Evening</t>
  </si>
  <si>
    <t>Assumptions:</t>
  </si>
  <si>
    <t>Notes</t>
  </si>
  <si>
    <t>Particulars</t>
  </si>
  <si>
    <t>% of</t>
  </si>
  <si>
    <t>Month.Ave.</t>
  </si>
  <si>
    <t>Categ</t>
  </si>
  <si>
    <t>Tot.Exp.</t>
  </si>
  <si>
    <t>Sales</t>
  </si>
  <si>
    <t>Check</t>
  </si>
  <si>
    <t>Cash Expenses</t>
  </si>
  <si>
    <t>OK</t>
  </si>
  <si>
    <t>Wages &amp; Salaries</t>
  </si>
  <si>
    <t>House Rent Allowance</t>
  </si>
  <si>
    <t>Leave Salary</t>
  </si>
  <si>
    <t>Leave Passage</t>
  </si>
  <si>
    <t>Gratuity</t>
  </si>
  <si>
    <t>Staff Training</t>
  </si>
  <si>
    <t>Kitchen Supplies</t>
  </si>
  <si>
    <t>Staff Benefits</t>
  </si>
  <si>
    <t>Staff Insurance</t>
  </si>
  <si>
    <t>Recruitment Expenses</t>
  </si>
  <si>
    <t>Faculty Incentive</t>
  </si>
  <si>
    <t>Faculty Overtime</t>
  </si>
  <si>
    <t>Total Staff Costs</t>
  </si>
  <si>
    <t>Admin. Expenses</t>
  </si>
  <si>
    <t>Office Rent</t>
  </si>
  <si>
    <t>Electricity &amp; Water</t>
  </si>
  <si>
    <t>Telephone &amp; Fax</t>
  </si>
  <si>
    <t>Repairs &amp; Maintenance</t>
  </si>
  <si>
    <t>Local Travel</t>
  </si>
  <si>
    <t>Courier Charges</t>
  </si>
  <si>
    <t>Printing Charges</t>
  </si>
  <si>
    <t>Stationery Supplies</t>
  </si>
  <si>
    <t>Business Travel &amp; Stay</t>
  </si>
  <si>
    <t>Postage Expenses</t>
  </si>
  <si>
    <t>Immigration &amp; Visa - Staff</t>
  </si>
  <si>
    <t>Computer Supplies</t>
  </si>
  <si>
    <t>Newspapers &amp; Periodicals</t>
  </si>
  <si>
    <t>Office Expenses</t>
  </si>
  <si>
    <t>Plants Maintenance</t>
  </si>
  <si>
    <t>Miscellaneous Expenses</t>
  </si>
  <si>
    <t>Membership Fees</t>
  </si>
  <si>
    <t>License Fees</t>
  </si>
  <si>
    <t>Total Administration Costs</t>
  </si>
  <si>
    <t>Vehicle Expenses</t>
  </si>
  <si>
    <t>Vehicle Maintenance</t>
  </si>
  <si>
    <t>Vehicle Fuel</t>
  </si>
  <si>
    <t>Total Vehicle Costs</t>
  </si>
  <si>
    <t>Audit Fees</t>
  </si>
  <si>
    <t>Total Profession.Chgs.</t>
  </si>
  <si>
    <t>Insurance</t>
  </si>
  <si>
    <t>Insurance - Vehicles</t>
  </si>
  <si>
    <t>Insurance - Office</t>
  </si>
  <si>
    <t>Total Insurance Costs</t>
  </si>
  <si>
    <t>Promotional Expenditure</t>
  </si>
  <si>
    <t>Advertisement &amp; Promotion</t>
  </si>
  <si>
    <t>Business Entertainment</t>
  </si>
  <si>
    <t>Total Marketing Costs</t>
  </si>
  <si>
    <t>Interest - Vehicle Loan</t>
  </si>
  <si>
    <t>Interest on overdraft</t>
  </si>
  <si>
    <t>Bank Charges</t>
  </si>
  <si>
    <t>Forex Fluctuations</t>
  </si>
  <si>
    <t>Total Finance Costs</t>
  </si>
  <si>
    <t>Total Cash Oper. Expenses</t>
  </si>
  <si>
    <t>Total Cash Expenses</t>
  </si>
  <si>
    <t>Non Cash Expenses</t>
  </si>
  <si>
    <t>Furniture &amp; Fixtures - Office</t>
  </si>
  <si>
    <t>Furniture &amp; Fixtures - Res.</t>
  </si>
  <si>
    <t>Leasehold Improvements</t>
  </si>
  <si>
    <t>Vehicles</t>
  </si>
  <si>
    <t>Computers</t>
  </si>
  <si>
    <t>Typewriters</t>
  </si>
  <si>
    <t>Photocopiers</t>
  </si>
  <si>
    <t>Facsimile</t>
  </si>
  <si>
    <t>Telephones</t>
  </si>
  <si>
    <t>Other Equipments</t>
  </si>
  <si>
    <t>Books</t>
  </si>
  <si>
    <t>Software</t>
  </si>
  <si>
    <t>PC Upgrade</t>
  </si>
  <si>
    <t>Total Depreciation Costs</t>
  </si>
  <si>
    <t>Amortization</t>
  </si>
  <si>
    <t>Franchise Fee</t>
  </si>
  <si>
    <t>Total Amortisation Costs</t>
  </si>
  <si>
    <t>Total Non-Cash Expenses</t>
  </si>
  <si>
    <t>-</t>
  </si>
  <si>
    <t>Grand Total</t>
  </si>
  <si>
    <t>Tracks              (Units=Seats)</t>
  </si>
  <si>
    <t>Channel Training</t>
  </si>
  <si>
    <t>Room Hire</t>
  </si>
  <si>
    <t>Prometric</t>
  </si>
  <si>
    <t>Private          (Units=Exams)</t>
  </si>
  <si>
    <t>COS Element</t>
  </si>
  <si>
    <t>% of Sales</t>
  </si>
  <si>
    <t>Course Material</t>
  </si>
  <si>
    <t>Refreshments</t>
  </si>
  <si>
    <t>Advert/Mktg Fee</t>
  </si>
  <si>
    <t>Royalty</t>
  </si>
  <si>
    <t>Sales Commission</t>
  </si>
  <si>
    <t>Total COS SDA</t>
  </si>
  <si>
    <t>Total COS Technical</t>
  </si>
  <si>
    <t>Total COS Channel Training</t>
  </si>
  <si>
    <t>Total COS Room Hire</t>
  </si>
  <si>
    <t>Total COS Prometric</t>
  </si>
  <si>
    <t>Prometric Test Expenses</t>
  </si>
  <si>
    <t>Total COS</t>
  </si>
  <si>
    <t>Sl. No.</t>
  </si>
  <si>
    <t>Employee Name</t>
  </si>
  <si>
    <t>Date of</t>
  </si>
  <si>
    <t>Increased Pay Details</t>
  </si>
  <si>
    <t>joining</t>
  </si>
  <si>
    <t>Basic</t>
  </si>
  <si>
    <t>HRA</t>
  </si>
  <si>
    <t>Convey.</t>
  </si>
  <si>
    <t>Others</t>
  </si>
  <si>
    <t>Abdul Kareem</t>
  </si>
  <si>
    <t>Sunny Varghese</t>
  </si>
  <si>
    <t>Naresh Kumar Parmar</t>
  </si>
  <si>
    <t>Ahmed Qurram Baig</t>
  </si>
  <si>
    <t>Manojkumar Nair</t>
  </si>
  <si>
    <t>Haider Hassan Tuaima</t>
  </si>
  <si>
    <t>Prakash Balakrishnan</t>
  </si>
  <si>
    <t>Krishna Menon</t>
  </si>
  <si>
    <t>Shazia Alam</t>
  </si>
  <si>
    <t>Charles Francis</t>
  </si>
  <si>
    <t>Sophia Pereira</t>
  </si>
  <si>
    <t xml:space="preserve">Prakash Manickavasagam  </t>
  </si>
  <si>
    <t>Sales:</t>
  </si>
  <si>
    <t>Administration:</t>
  </si>
  <si>
    <t>Training:</t>
  </si>
  <si>
    <t>Rajender Bali</t>
  </si>
  <si>
    <t>from</t>
  </si>
  <si>
    <t>Dxb Manager</t>
  </si>
  <si>
    <t>Customer Service</t>
  </si>
  <si>
    <t>Increase/Join</t>
  </si>
  <si>
    <t>Mktg - Corporate</t>
  </si>
  <si>
    <t>Mtktg- Tracks</t>
  </si>
  <si>
    <t>Mtktg- Public</t>
  </si>
  <si>
    <t>Trainer</t>
  </si>
  <si>
    <t>India</t>
  </si>
  <si>
    <t>UK</t>
  </si>
  <si>
    <t>Iraq</t>
  </si>
  <si>
    <t>Madras</t>
  </si>
  <si>
    <t>Bangalore</t>
  </si>
  <si>
    <t>Delhi</t>
  </si>
  <si>
    <t>Bombay</t>
  </si>
  <si>
    <t>Legal Fees</t>
  </si>
  <si>
    <t>Other Fees</t>
  </si>
  <si>
    <t>Exhibition Expenses</t>
  </si>
  <si>
    <t>Sponsorship Expenses</t>
  </si>
  <si>
    <t>Credit card commisions</t>
  </si>
  <si>
    <t>Depn Rate</t>
  </si>
  <si>
    <t>Depn Amount</t>
  </si>
  <si>
    <t>Overhead Projector System-LCD</t>
  </si>
  <si>
    <t>Printers</t>
  </si>
  <si>
    <t>Telephone</t>
  </si>
  <si>
    <t>Advertising &amp; Publicity</t>
  </si>
  <si>
    <t>Total Expenditure</t>
  </si>
  <si>
    <t>31 Months</t>
  </si>
  <si>
    <t>Shifting Expenses</t>
  </si>
  <si>
    <t>Depn p.m.</t>
  </si>
  <si>
    <t>Budget Amount</t>
  </si>
  <si>
    <t>NOTES:</t>
  </si>
  <si>
    <t>HRA is a part of Salary package paid every month</t>
  </si>
  <si>
    <t>Leave Salary and Gratuity have been compiled as per Labour Laws</t>
  </si>
  <si>
    <t>Staff Parties</t>
  </si>
  <si>
    <t>Includes cost of comprehensive Medical Insurance for staff</t>
  </si>
  <si>
    <t>Provision for 2 staff get togethers have been made</t>
  </si>
  <si>
    <t>Staff Costs:</t>
  </si>
  <si>
    <t>Administration Costs:</t>
  </si>
  <si>
    <t>A chargeout is made for space for the Master Franchise at 7% of the total rent.</t>
  </si>
  <si>
    <t>Includes cost of office equipment repairs</t>
  </si>
  <si>
    <t>Includes costs of local taxi fares</t>
  </si>
  <si>
    <t>These expenses are assumed to increase with business</t>
  </si>
  <si>
    <t>Includes cost of toner cartridges etc.</t>
  </si>
  <si>
    <t>Includes cost of CTECH, CIW,Lotus,Oracle,Cisco memberships</t>
  </si>
  <si>
    <t>Trade licence fee at actuals since for 2 years</t>
  </si>
  <si>
    <t>Vehicle Expenses:</t>
  </si>
  <si>
    <t>Proffessional Charges:</t>
  </si>
  <si>
    <t>Includes costs of accounting, financial and HR services</t>
  </si>
  <si>
    <t xml:space="preserve">Insurance </t>
  </si>
  <si>
    <t>Vehicle insurance is for 2 Vehicles for the Sales team</t>
  </si>
  <si>
    <t>Assumed evenly throughout the year</t>
  </si>
  <si>
    <t>Finance Cost</t>
  </si>
  <si>
    <t>Credit Card commissions are expected to increase with increase in business</t>
  </si>
  <si>
    <t>Depreciation is provided at rates mentioned in the Capex schedule</t>
  </si>
  <si>
    <t>Car for Manager</t>
  </si>
  <si>
    <t>Includes cost of 2 Vehicles for the Sales Team and 1 for the Manager</t>
  </si>
  <si>
    <t>Petrol expenses for 3 Sales people and 1 Manager</t>
  </si>
  <si>
    <t>Vehicle Costs</t>
  </si>
  <si>
    <t>Page No.</t>
  </si>
  <si>
    <t>Profit &amp; Loss Statement - Monthly</t>
  </si>
  <si>
    <t>Cash Flow Budget</t>
  </si>
  <si>
    <t>Overheads Budget</t>
  </si>
  <si>
    <t>Capital Expenditure Budget</t>
  </si>
  <si>
    <t>Balance Sheet As on 31st December 2001</t>
  </si>
  <si>
    <t>Profit / Loss Analysis</t>
  </si>
  <si>
    <t>Gross Profit</t>
  </si>
  <si>
    <t>Operating Cash Profit/(Loss)</t>
  </si>
  <si>
    <t>Net Profit / (Loss)</t>
  </si>
  <si>
    <t>Breakeven Sales</t>
  </si>
  <si>
    <t>To Cover Cash Operating Expenses</t>
  </si>
  <si>
    <t>To Cover Cash Expenses</t>
  </si>
  <si>
    <t>(Including Director's Remuneration)</t>
  </si>
  <si>
    <t>To Cover all Expenses</t>
  </si>
  <si>
    <t>To Cover all Expenses and Accumulated Losses</t>
  </si>
  <si>
    <t>Per annum</t>
  </si>
  <si>
    <t>Ave.per month</t>
  </si>
  <si>
    <t>Balance B/F</t>
  </si>
  <si>
    <t>RECEIPTS</t>
  </si>
  <si>
    <t>Capital Inflows</t>
  </si>
  <si>
    <t>Receipts from Debtors</t>
  </si>
  <si>
    <t>Staff Advance received</t>
  </si>
  <si>
    <t>Total Receipts   (A)</t>
  </si>
  <si>
    <t>PAYMENTS</t>
  </si>
  <si>
    <t>Capital Outflows</t>
  </si>
  <si>
    <t>Operating Overheads</t>
  </si>
  <si>
    <t>Pmt. To HO</t>
  </si>
  <si>
    <t>Total Payments   (B)</t>
  </si>
  <si>
    <t>Balance C/F</t>
  </si>
  <si>
    <t>Current Assets</t>
  </si>
  <si>
    <t>Deposits &amp; Advances</t>
  </si>
  <si>
    <t>Accounts Receivable</t>
  </si>
  <si>
    <t>Inventory</t>
  </si>
  <si>
    <t>Total Current Assets</t>
  </si>
  <si>
    <t>Current Liabilities</t>
  </si>
  <si>
    <t>Accounts Payable, Trade</t>
  </si>
  <si>
    <t>Accrued Liabilities</t>
  </si>
  <si>
    <t>Total Current Liabilities</t>
  </si>
  <si>
    <t>Non Current Assets</t>
  </si>
  <si>
    <t>Total Non Current Assets</t>
  </si>
  <si>
    <t>Non Current Liabilities</t>
  </si>
  <si>
    <t>Altajir Head Office</t>
  </si>
  <si>
    <t>Total Non Current Liabilities</t>
  </si>
  <si>
    <t>Total Net Assets</t>
  </si>
  <si>
    <t>Shareholders' Capital</t>
  </si>
  <si>
    <t>Schedule # 1</t>
  </si>
  <si>
    <t>Cash &amp; Bank</t>
  </si>
  <si>
    <t>Cash on hand</t>
  </si>
  <si>
    <t>ANZ Grindlays Dhms a/c</t>
  </si>
  <si>
    <t>Schedule # 2</t>
  </si>
  <si>
    <t>Staff Advances</t>
  </si>
  <si>
    <t>Deposits</t>
  </si>
  <si>
    <t>Advance for Expenses</t>
  </si>
  <si>
    <t>Schedule # 3</t>
  </si>
  <si>
    <t>Trade Debtors</t>
  </si>
  <si>
    <t>Other Debtors</t>
  </si>
  <si>
    <t>Related Parties Transaction</t>
  </si>
  <si>
    <t>Altajir General Trading</t>
  </si>
  <si>
    <t>Schedule # 4</t>
  </si>
  <si>
    <t>Prepaid Expenses</t>
  </si>
  <si>
    <t>Prepaid Rent - Office</t>
  </si>
  <si>
    <t>Prepaid insurance - Vehicles</t>
  </si>
  <si>
    <t>Prepaid expenses - Memebership fees</t>
  </si>
  <si>
    <t>Prepaid expenses - Licence fees</t>
  </si>
  <si>
    <t>Prepaid insurance - Office</t>
  </si>
  <si>
    <t>Prepaid insurance - health</t>
  </si>
  <si>
    <t>Emirates class expenses</t>
  </si>
  <si>
    <t>Schedule # 5</t>
  </si>
  <si>
    <t>Trade Creditors</t>
  </si>
  <si>
    <t>Other payables</t>
  </si>
  <si>
    <t>Royalty payable</t>
  </si>
  <si>
    <t>Advt / Mktg fees payable</t>
  </si>
  <si>
    <t>Provision for expenses</t>
  </si>
  <si>
    <t>Insurance premium payable</t>
  </si>
  <si>
    <t>Deposits collected</t>
  </si>
  <si>
    <t>Post dated Cheques</t>
  </si>
  <si>
    <t>Schedule # 6</t>
  </si>
  <si>
    <t>Staff Payables</t>
  </si>
  <si>
    <t>Salaries payable</t>
  </si>
  <si>
    <t>Leave Travel</t>
  </si>
  <si>
    <t>OT / Incentive payable</t>
  </si>
  <si>
    <t>Schedule # 7</t>
  </si>
  <si>
    <t>Fixed Assets</t>
  </si>
  <si>
    <t>Furniture</t>
  </si>
  <si>
    <t>Leasehold</t>
  </si>
  <si>
    <t>Equipments</t>
  </si>
  <si>
    <t>Books &amp;</t>
  </si>
  <si>
    <t>assets</t>
  </si>
  <si>
    <t>Cost</t>
  </si>
  <si>
    <t>As at 01/01/2000</t>
  </si>
  <si>
    <t xml:space="preserve">Additions </t>
  </si>
  <si>
    <t>Transfer out</t>
  </si>
  <si>
    <t>As at 31/12/2000</t>
  </si>
  <si>
    <t>Charge for the year</t>
  </si>
  <si>
    <t>Net book value</t>
  </si>
  <si>
    <t>As at 31/12/99</t>
  </si>
  <si>
    <t xml:space="preserve">            </t>
  </si>
  <si>
    <t>Schedule # 8</t>
  </si>
  <si>
    <t>Pre operating Costs</t>
  </si>
  <si>
    <t>Opening and closing balance</t>
  </si>
  <si>
    <t>Opening balance</t>
  </si>
  <si>
    <t>Charge for the period</t>
  </si>
  <si>
    <t>Closing balance</t>
  </si>
  <si>
    <t>Net book amount</t>
  </si>
  <si>
    <t>Schedule # 9</t>
  </si>
  <si>
    <t>Schedule # 10</t>
  </si>
  <si>
    <t>Retained Earnings</t>
  </si>
  <si>
    <t>Loss for the year</t>
  </si>
  <si>
    <t>Schedule # 11</t>
  </si>
  <si>
    <t>Share holders' Capital</t>
  </si>
  <si>
    <t>Mohsin Mohamed Mahdi Altajir</t>
  </si>
  <si>
    <t>Ahmed Kashwani</t>
  </si>
  <si>
    <t>Schedule # 12</t>
  </si>
  <si>
    <t>Share holders' Current a/c</t>
  </si>
  <si>
    <t>AGT - Head Office</t>
  </si>
  <si>
    <t>Schedule # 13</t>
  </si>
  <si>
    <t>Budget</t>
  </si>
  <si>
    <t>Desktop Applications</t>
  </si>
  <si>
    <t>Technical courses</t>
  </si>
  <si>
    <t>Other revenues</t>
  </si>
  <si>
    <t>Related Parties Transanction</t>
  </si>
  <si>
    <t>Schedule # 14</t>
  </si>
  <si>
    <t>Cost of sales</t>
  </si>
  <si>
    <t>Desk top applications</t>
  </si>
  <si>
    <t>Pro metric tests</t>
  </si>
  <si>
    <t>Other direct expenses</t>
  </si>
  <si>
    <t>Royaties</t>
  </si>
  <si>
    <t>Advt &amp; Mktg Fee</t>
  </si>
  <si>
    <t>Schedule # 15</t>
  </si>
  <si>
    <t>Leave salary</t>
  </si>
  <si>
    <t>Leave travel</t>
  </si>
  <si>
    <t>Staff insurance</t>
  </si>
  <si>
    <t>Kitchen supplies</t>
  </si>
  <si>
    <t>Staff benefits</t>
  </si>
  <si>
    <t>Staff set up</t>
  </si>
  <si>
    <t>Overtime</t>
  </si>
  <si>
    <t>Incentive to staff</t>
  </si>
  <si>
    <t>Ex gratia / Bonus</t>
  </si>
  <si>
    <t>Schedule # 16</t>
  </si>
  <si>
    <t>Repairs &amp; Maintanence</t>
  </si>
  <si>
    <t>Postage &amp; Telegrams</t>
  </si>
  <si>
    <t>Newspaper &amp; Periodicals</t>
  </si>
  <si>
    <t>Business travel &amp; Stay</t>
  </si>
  <si>
    <t>Recriutment expenses</t>
  </si>
  <si>
    <t>Immigration &amp; Visa</t>
  </si>
  <si>
    <t>Directors travel expenses</t>
  </si>
  <si>
    <t>Director's fees</t>
  </si>
  <si>
    <t>Directors training expenses</t>
  </si>
  <si>
    <t>Miscellaneous expenses</t>
  </si>
  <si>
    <t>Incorporation expenses</t>
  </si>
  <si>
    <t>Licence fees</t>
  </si>
  <si>
    <t>Donations</t>
  </si>
  <si>
    <t>Membership fees</t>
  </si>
  <si>
    <t>Schedule # 17</t>
  </si>
  <si>
    <t>Vehicle hire</t>
  </si>
  <si>
    <t>Vehicle fuel</t>
  </si>
  <si>
    <t>Vehicle maintanence</t>
  </si>
  <si>
    <t>Schedule # 18</t>
  </si>
  <si>
    <t>Audit fees</t>
  </si>
  <si>
    <t>Legal expenses</t>
  </si>
  <si>
    <t>Professional fees</t>
  </si>
  <si>
    <t>Schedule # 19</t>
  </si>
  <si>
    <t>Insurance  - Office</t>
  </si>
  <si>
    <t>Insurance - Others</t>
  </si>
  <si>
    <t>Schedule # 20</t>
  </si>
  <si>
    <t>Business Entertainement</t>
  </si>
  <si>
    <t>Exhibition expenses</t>
  </si>
  <si>
    <t>Sponsorship expenses</t>
  </si>
  <si>
    <t>Schedule # 21</t>
  </si>
  <si>
    <t>Interest  -  Vehicle loan</t>
  </si>
  <si>
    <t>Interest  - AGT loan</t>
  </si>
  <si>
    <t>BG charges</t>
  </si>
  <si>
    <t>Bank charges</t>
  </si>
  <si>
    <t>Interest - ANZ OD</t>
  </si>
  <si>
    <t>Forex fluctuations</t>
  </si>
  <si>
    <t>Schedule # 22</t>
  </si>
  <si>
    <t>Extraordinary Costs</t>
  </si>
  <si>
    <t>Write off- Bad debts</t>
  </si>
  <si>
    <t>Sub-Total</t>
  </si>
  <si>
    <t>Notes:</t>
  </si>
  <si>
    <t>Gratuity is calculated on Basic Salary</t>
  </si>
  <si>
    <t>Leave Passage is given once in 2 years</t>
  </si>
  <si>
    <t>Manager +spouse +Kid provided annually</t>
  </si>
  <si>
    <t>Staff Residence Rent</t>
  </si>
  <si>
    <t>Staff parties</t>
  </si>
  <si>
    <t>Professional Fees</t>
  </si>
  <si>
    <t xml:space="preserve">  Depreciation</t>
  </si>
  <si>
    <t xml:space="preserve">  Amortization</t>
  </si>
  <si>
    <t>Pre-Operative Expenses</t>
  </si>
  <si>
    <t>x</t>
  </si>
  <si>
    <t>Leave passage in July for Training Manager</t>
  </si>
  <si>
    <t>Gratuity in July for Trainer &amp; Training Manager</t>
  </si>
  <si>
    <t>Fianance Costs</t>
  </si>
  <si>
    <t>Debtors Schedule</t>
  </si>
  <si>
    <t>Jan -50% , 50%</t>
  </si>
  <si>
    <t>Feb -50% , 50%</t>
  </si>
  <si>
    <t>March -50% , 50%</t>
  </si>
  <si>
    <t>April -50% , 50%</t>
  </si>
  <si>
    <t>May - 50%, 50%</t>
  </si>
  <si>
    <t>June - 50%, 50%</t>
  </si>
  <si>
    <t>July - 50%, 50%</t>
  </si>
  <si>
    <t>Aug - 50%, 50%</t>
  </si>
  <si>
    <t>Sep - 50%, 50%</t>
  </si>
  <si>
    <t>Oct. - 50%, 50%</t>
  </si>
  <si>
    <t>Nov -50% , 50%</t>
  </si>
  <si>
    <t>Dec -50% , 50%</t>
  </si>
  <si>
    <t>COS Schedule</t>
  </si>
  <si>
    <t>Advert./Marketing Fee</t>
  </si>
  <si>
    <t>Prometric Costs</t>
  </si>
  <si>
    <t>Freelance</t>
  </si>
  <si>
    <t>Cash Sales Public</t>
  </si>
  <si>
    <t>SDA Public</t>
  </si>
  <si>
    <t>E readiness Public</t>
  </si>
  <si>
    <t>Day</t>
  </si>
  <si>
    <t>Evening</t>
  </si>
  <si>
    <t>Technical Tracks(20%)</t>
  </si>
  <si>
    <t>Ereadiness Tracks(40%)</t>
  </si>
  <si>
    <t>E readiness Tracks(50%)</t>
  </si>
  <si>
    <t>2000 -50% , 50%</t>
  </si>
  <si>
    <t>E-readiness Tracks(50%)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</si>
  <si>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</si>
  <si>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</si>
  <si>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</si>
  <si>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</si>
  <si>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</si>
  <si>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</si>
  <si>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</si>
  <si>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</si>
  <si>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</si>
  <si>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</si>
  <si>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</si>
  <si>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</si>
  <si>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Credit Card Commissions</t>
  </si>
  <si>
    <t>Amounts</t>
  </si>
  <si>
    <t xml:space="preserve">Schedule 1 - Cash </t>
  </si>
  <si>
    <t>Cash</t>
  </si>
  <si>
    <t>Schedule 1A - Bank</t>
  </si>
  <si>
    <t>Schedule 2 - Deposits &amp; Staff Advances</t>
  </si>
  <si>
    <t>Staff Advances &amp; Adv. For Exp.</t>
  </si>
  <si>
    <t>Opening Balance</t>
  </si>
  <si>
    <t>Add: New Advances</t>
  </si>
  <si>
    <t>Less: Adjusted</t>
  </si>
  <si>
    <t>Closing Balance</t>
  </si>
  <si>
    <t>Schedule 3 - Accounts Receivable</t>
  </si>
  <si>
    <t xml:space="preserve">Trade Receivables </t>
  </si>
  <si>
    <t>Add: Sales</t>
  </si>
  <si>
    <t>Less: Receipts</t>
  </si>
  <si>
    <t>Other Receivables</t>
  </si>
  <si>
    <t>Executrain Master Franchise</t>
  </si>
  <si>
    <t>Add: Rent Due</t>
  </si>
  <si>
    <t>Total Receivables</t>
  </si>
  <si>
    <t>Schedule 4 - Prepaid Expenses</t>
  </si>
  <si>
    <t>Subscriptions</t>
  </si>
  <si>
    <t>Off. Insuran.</t>
  </si>
  <si>
    <t>Veh.Insu.</t>
  </si>
  <si>
    <t>Licen. Fees</t>
  </si>
  <si>
    <t>Health Ins.</t>
  </si>
  <si>
    <t>Add: Prepayments</t>
  </si>
  <si>
    <t>Less: Adjustments for the year</t>
  </si>
  <si>
    <t>Total Prepaid Expenses</t>
  </si>
  <si>
    <t>Schedule 4 - Inventory</t>
  </si>
  <si>
    <t>Schedule 5 - Accounts Payable, Trade</t>
  </si>
  <si>
    <t>Tr.Creditors</t>
  </si>
  <si>
    <t>Provi for exp.</t>
  </si>
  <si>
    <t>Advt/Mktg</t>
  </si>
  <si>
    <t>Ins.Prem.Pay</t>
  </si>
  <si>
    <t>Depo.Collec.</t>
  </si>
  <si>
    <t>Add:Purchases for the year</t>
  </si>
  <si>
    <t>Less:Payments</t>
  </si>
  <si>
    <t>Schedule of Trade Creditors</t>
  </si>
  <si>
    <t>Open.Balance</t>
  </si>
  <si>
    <t>Purchases</t>
  </si>
  <si>
    <t>Payments</t>
  </si>
  <si>
    <t>Closing Bal.</t>
  </si>
  <si>
    <t>Schedule 6 - Accrued Liabilities</t>
  </si>
  <si>
    <t>Facul.Incentive</t>
  </si>
  <si>
    <t>Add:Accrued for the year</t>
  </si>
  <si>
    <t>Schedule 7 - Fixed Assets, Net</t>
  </si>
  <si>
    <t>Gross</t>
  </si>
  <si>
    <t>Accu.Depn.</t>
  </si>
  <si>
    <t>Net</t>
  </si>
  <si>
    <t>Furniture &amp; Fixtures - Staff Residence</t>
  </si>
  <si>
    <t>Leasehold Improvements - Office</t>
  </si>
  <si>
    <t>Cars</t>
  </si>
  <si>
    <t>Fax</t>
  </si>
  <si>
    <t>Telephone Equipments</t>
  </si>
  <si>
    <t>Other Office Equipments</t>
  </si>
  <si>
    <t>Library - Software</t>
  </si>
  <si>
    <t>Library - Books</t>
  </si>
  <si>
    <t>Schedule 8 - Pre-Operating Expenses, Net</t>
  </si>
  <si>
    <t>Less: Amortised</t>
  </si>
  <si>
    <t>Schedule 9 - Franchise Fee, Net</t>
  </si>
  <si>
    <t>Schedule 10 - Shareholders' Capital</t>
  </si>
  <si>
    <t>Schedule 11 - Shareholders' Current A/C</t>
  </si>
  <si>
    <t xml:space="preserve">Schedule 13 -  Loans </t>
  </si>
  <si>
    <t>Banks</t>
  </si>
  <si>
    <t>Deposits - Telephones</t>
  </si>
  <si>
    <t>Deposits- Labour Dept.</t>
  </si>
  <si>
    <t>Deposit - Customs</t>
  </si>
  <si>
    <t>Add; Incurred during the year</t>
  </si>
  <si>
    <t>Technical Tracks</t>
  </si>
  <si>
    <t>2nd installment</t>
  </si>
  <si>
    <t>3rd installment</t>
  </si>
  <si>
    <t>4th installment</t>
  </si>
  <si>
    <t>5th installment</t>
  </si>
  <si>
    <t>Subtotal</t>
  </si>
  <si>
    <t>Amount</t>
  </si>
  <si>
    <t>Schedule</t>
  </si>
  <si>
    <t>Bank Overdraft</t>
  </si>
  <si>
    <t>Net Current Assets/ (Liabilities)</t>
  </si>
  <si>
    <t>Fixed Assets, Net</t>
  </si>
  <si>
    <t>Pre Operating Expenses, Net</t>
  </si>
  <si>
    <t>Franchise Fee, Net</t>
  </si>
  <si>
    <t xml:space="preserve">Accumulated Profit / (Loss) </t>
  </si>
  <si>
    <t>Financed By:</t>
  </si>
  <si>
    <t>Shareholders' Current A/C</t>
  </si>
  <si>
    <t>Total Funds Employed</t>
  </si>
  <si>
    <t>Rounding Off Diff.</t>
  </si>
  <si>
    <t>BOARD APPROVAL NOTE</t>
  </si>
  <si>
    <t>Unit</t>
  </si>
  <si>
    <t>ExecuTrain of Dubai</t>
  </si>
  <si>
    <t>Type</t>
  </si>
  <si>
    <t>Small business unit (SBU)</t>
  </si>
  <si>
    <t>Approval subject</t>
  </si>
  <si>
    <t>Contents</t>
  </si>
  <si>
    <t>Please see attached sheets</t>
  </si>
  <si>
    <t>General Manager</t>
  </si>
  <si>
    <t>Mohsin MM Altajir</t>
  </si>
  <si>
    <t>Date of approval of budget</t>
  </si>
  <si>
    <t>Director</t>
  </si>
  <si>
    <t>% on sales</t>
  </si>
  <si>
    <t>Year</t>
  </si>
  <si>
    <t>Cash Operating Profit / (Loss)</t>
  </si>
  <si>
    <t>Net Profit</t>
  </si>
  <si>
    <t>Key Indicators</t>
  </si>
  <si>
    <t>Sales are expected to be lower than previous month levels during summer months(July &amp; August) and holy month of Ramadan (December)</t>
  </si>
  <si>
    <t>% Imp</t>
  </si>
  <si>
    <t>Improvement</t>
  </si>
  <si>
    <t>Actual Amount</t>
  </si>
  <si>
    <t>Furniture &amp; Fixtures</t>
  </si>
  <si>
    <t>Other Office Equipment - Projectors,Screens etc.,</t>
  </si>
  <si>
    <t>36 Months</t>
  </si>
  <si>
    <t>Ereadiness  tracks.33% and .27%</t>
  </si>
  <si>
    <t>Aruna Srinivasan</t>
  </si>
  <si>
    <t>Salary, HRA &amp; Conveyance</t>
  </si>
  <si>
    <t>Neetu Bhatnagar</t>
  </si>
  <si>
    <t>PO Box  26977</t>
  </si>
  <si>
    <t>Dubai</t>
  </si>
  <si>
    <t>United Arab Emirates</t>
  </si>
  <si>
    <t/>
  </si>
  <si>
    <t>Profit &amp; Loss Statement</t>
  </si>
  <si>
    <t>Income</t>
  </si>
  <si>
    <t>Sales - Desktop</t>
  </si>
  <si>
    <t>Database Management</t>
  </si>
  <si>
    <t>Microsoft Access</t>
  </si>
  <si>
    <t>Total Database Management</t>
  </si>
  <si>
    <t>Desktop Publishing &amp; Graphics</t>
  </si>
  <si>
    <t>Visio 2000</t>
  </si>
  <si>
    <t>Total Desktop Publishing &amp; Graphics</t>
  </si>
  <si>
    <t>Mail Packages</t>
  </si>
  <si>
    <t>Microsoft Outlook</t>
  </si>
  <si>
    <t>Total Mail Packages</t>
  </si>
  <si>
    <t>Customized Desktop courses</t>
  </si>
  <si>
    <t>Customized SDA Courses</t>
  </si>
  <si>
    <t>Total Customized Desktop courses</t>
  </si>
  <si>
    <t>Total Sales - Desktop</t>
  </si>
  <si>
    <t>Sales - Technical</t>
  </si>
  <si>
    <t>MCSE Courses</t>
  </si>
  <si>
    <t>Technical Others</t>
  </si>
  <si>
    <t>Total Sales - Technical</t>
  </si>
  <si>
    <t>Sales - Customised</t>
  </si>
  <si>
    <t>Customized technical courses</t>
  </si>
  <si>
    <t>Total Sales - Customised</t>
  </si>
  <si>
    <t>CISCO</t>
  </si>
  <si>
    <t>Trainer Hire</t>
  </si>
  <si>
    <t>Class Room Rentals</t>
  </si>
  <si>
    <t>Symantec Training</t>
  </si>
  <si>
    <t>Total Trainer Hire</t>
  </si>
  <si>
    <t>Non Royalty Sales</t>
  </si>
  <si>
    <t>Total Non Royalty Sales</t>
  </si>
  <si>
    <t>Total Income</t>
  </si>
  <si>
    <t>Cost Of Sales</t>
  </si>
  <si>
    <t>Cost of Sales - SDA</t>
  </si>
  <si>
    <t>Course Materials - SDA</t>
  </si>
  <si>
    <t>Freelance training - SDA</t>
  </si>
  <si>
    <t>Other expenses - SDA</t>
  </si>
  <si>
    <t>Total Cost of Sales - SDA</t>
  </si>
  <si>
    <t>Cost of Sales - Technical</t>
  </si>
  <si>
    <t>Course manuals - Technical</t>
  </si>
  <si>
    <t>Freelance Trng - Technical</t>
  </si>
  <si>
    <t>Other expenses - Technical</t>
  </si>
  <si>
    <t>Total Cost of Sales - Technical</t>
  </si>
  <si>
    <t>Cost of Sales - Pro metric</t>
  </si>
  <si>
    <t>Prometric test exp</t>
  </si>
  <si>
    <t>Total Cost of Sales - Pro metric</t>
  </si>
  <si>
    <t>Other COS expenses</t>
  </si>
  <si>
    <t>Refreshments - Students</t>
  </si>
  <si>
    <t>Total Other COS expenses</t>
  </si>
  <si>
    <t>Royalties / Advt fee</t>
  </si>
  <si>
    <t>Royalties</t>
  </si>
  <si>
    <t>Advt / Mktg fee</t>
  </si>
  <si>
    <t>Total Royalties / Advt fee</t>
  </si>
  <si>
    <t>EVC</t>
  </si>
  <si>
    <t>Total Cost Of Sales</t>
  </si>
  <si>
    <t>Expenses</t>
  </si>
  <si>
    <t>STAFF COSTS</t>
  </si>
  <si>
    <t>Staff Medical</t>
  </si>
  <si>
    <t>Total STAFF COSTS</t>
  </si>
  <si>
    <t>ADMINISTRATIVE EXPENSES</t>
  </si>
  <si>
    <t>Postage Charges</t>
  </si>
  <si>
    <t>Books/Newspapers</t>
  </si>
  <si>
    <t>Director fees</t>
  </si>
  <si>
    <t>Computer expenses</t>
  </si>
  <si>
    <t>Total ADMINISTRATIVE EXPENSES</t>
  </si>
  <si>
    <t>VEHICLE EXPENSES</t>
  </si>
  <si>
    <t>Total VEHICLE EXPENSES</t>
  </si>
  <si>
    <t>PROFESSIONAL FEES</t>
  </si>
  <si>
    <t>Total PROFESSIONAL FEES</t>
  </si>
  <si>
    <t>INSURANCE</t>
  </si>
  <si>
    <t>Total INSURANCE</t>
  </si>
  <si>
    <t>PROMOTIONAL EXPENDITURE</t>
  </si>
  <si>
    <t>Total PROMOTIONAL EXPENDITURE</t>
  </si>
  <si>
    <t>Total Expenses</t>
  </si>
  <si>
    <t>Operating Profit</t>
  </si>
  <si>
    <t>Other Income</t>
  </si>
  <si>
    <t>Total Other Income</t>
  </si>
  <si>
    <t>Other Expenses</t>
  </si>
  <si>
    <t>FINANCIAL EXPENSES</t>
  </si>
  <si>
    <t>POS commission / Charges</t>
  </si>
  <si>
    <t>Credit Card fee/Charges</t>
  </si>
  <si>
    <t>Total FINANCIAL EXPENSES</t>
  </si>
  <si>
    <t>DEPRECIATION</t>
  </si>
  <si>
    <t>DEPN.-FURNI. &amp; FIXTURES</t>
  </si>
  <si>
    <t>Depn.-Furni. &amp; Fix.-Office</t>
  </si>
  <si>
    <t>Depn.-Leasehold Improvements</t>
  </si>
  <si>
    <t>Total DEPN.-FURNI. &amp; FIXTURES</t>
  </si>
  <si>
    <t>DEPN.-OFFICE EQUIPMENTS</t>
  </si>
  <si>
    <t>Depn.-Computers</t>
  </si>
  <si>
    <t>Depn.-Photocopiers</t>
  </si>
  <si>
    <t>Depn.-Facsimile</t>
  </si>
  <si>
    <t>Depn. - Telephones</t>
  </si>
  <si>
    <t>Depn.-Other Off.Equip.</t>
  </si>
  <si>
    <t>Total DEPN.-OFFICE EQUIPMENTS</t>
  </si>
  <si>
    <t>DEPN.- OTHER ASSETS</t>
  </si>
  <si>
    <t>Total DEPN.- OTHER ASSETS</t>
  </si>
  <si>
    <t>Total DEPRECIATION</t>
  </si>
  <si>
    <t>AMORTIZATION</t>
  </si>
  <si>
    <t>Amort.-Fran.Fee-DXB</t>
  </si>
  <si>
    <t>Total AMORTIZATION</t>
  </si>
  <si>
    <t>Total Other Expenses</t>
  </si>
  <si>
    <t>Net Profit/(Loss)</t>
  </si>
  <si>
    <t>SDA/Web</t>
  </si>
  <si>
    <t>Channel Training MS</t>
  </si>
  <si>
    <t>Channel Training Symantec</t>
  </si>
  <si>
    <t>MOUS</t>
  </si>
  <si>
    <t>Security</t>
  </si>
  <si>
    <t xml:space="preserve">Technical </t>
  </si>
  <si>
    <t>Tracks  MS      (Units=Seats)</t>
  </si>
  <si>
    <t>Tracks  Oracle / CIW (Units=Seats)</t>
  </si>
  <si>
    <t>Private          (Units=Days)</t>
  </si>
  <si>
    <t>Private          (Units=Contracts)</t>
  </si>
  <si>
    <t>Events - Security/ E commerce</t>
  </si>
  <si>
    <t>Total COS Security</t>
  </si>
  <si>
    <t>EVC COS</t>
  </si>
  <si>
    <t>MOUS Test  Expenses</t>
  </si>
  <si>
    <t>Total COS EVC</t>
  </si>
  <si>
    <t>Total COS MOUS</t>
  </si>
  <si>
    <t>Channel Training Microsoft</t>
  </si>
  <si>
    <t>Digital Camera</t>
  </si>
  <si>
    <t>Feb '01</t>
  </si>
  <si>
    <t>Facsmisile</t>
  </si>
  <si>
    <t>Library Books &amp; Software</t>
  </si>
  <si>
    <t>Course Material (@ USD 25 / day)</t>
  </si>
  <si>
    <t>iran</t>
  </si>
  <si>
    <t>Freelancer</t>
  </si>
  <si>
    <t>COS Freelancers</t>
  </si>
  <si>
    <t>Interest - Bank OD</t>
  </si>
  <si>
    <t>SDA / Web</t>
  </si>
  <si>
    <t>Tracks(50%)</t>
  </si>
  <si>
    <t>Tracks</t>
  </si>
  <si>
    <t>Tracks.33% and .27%</t>
  </si>
  <si>
    <t>Cash Sales</t>
  </si>
  <si>
    <t>ANZ Grindlays Bank - A/C No. 01 3129896 01</t>
  </si>
  <si>
    <t>Prometric &amp; MOUS</t>
  </si>
  <si>
    <t>Evening Tracks</t>
  </si>
  <si>
    <t>33 % &amp; 27%</t>
  </si>
  <si>
    <t>Technical Tracks(40%)</t>
  </si>
  <si>
    <t>Security Tracks(40%)</t>
  </si>
  <si>
    <t>CF</t>
  </si>
  <si>
    <t>CREDITOR - AJT</t>
  </si>
  <si>
    <t>Bank</t>
  </si>
  <si>
    <t>Leave passage has been provided once in 2 Years. For Sales Manager Annual Family Ticket has been provided</t>
  </si>
  <si>
    <t>Cost of training the faculty including training outside the UAE</t>
  </si>
  <si>
    <t>Faculty Incentive is paid as per Incentive plan</t>
  </si>
  <si>
    <t xml:space="preserve">Faculty Overtime is paid @35 Dhs /hr </t>
  </si>
  <si>
    <t>Includes ETD's share of Cost of Gitex, Career Fair etc.</t>
  </si>
  <si>
    <t xml:space="preserve">Costs of printing internal documents, business cards, letterheads </t>
  </si>
  <si>
    <t xml:space="preserve">Depreciation </t>
  </si>
  <si>
    <t>Budgeted sales as % of 100% capacity Sales</t>
  </si>
  <si>
    <t>As on 30/11/02</t>
  </si>
  <si>
    <t>Jambu Mahadevan</t>
  </si>
  <si>
    <t>Shazia  Alam</t>
  </si>
  <si>
    <t>New Staff/Manoj Nair</t>
  </si>
  <si>
    <t>Kajeer Harris Khan/New Person</t>
  </si>
  <si>
    <t>Joe Kuariakose</t>
  </si>
  <si>
    <t>Rashmi Mathur</t>
  </si>
  <si>
    <t>Savitha Shetty</t>
  </si>
  <si>
    <t>Manoj Kumar</t>
  </si>
  <si>
    <t>Manoj Xavier</t>
  </si>
  <si>
    <t>Sales manager</t>
  </si>
  <si>
    <t>Jan '03</t>
  </si>
  <si>
    <t>Jan'03</t>
  </si>
  <si>
    <t>May'03</t>
  </si>
  <si>
    <t>01-01-02  to  30-11-02</t>
  </si>
  <si>
    <t>Photoshop</t>
  </si>
  <si>
    <t>Sales - Class Room Based</t>
  </si>
  <si>
    <t>Sales CR - End User</t>
  </si>
  <si>
    <t>MS Office</t>
  </si>
  <si>
    <t>Project</t>
  </si>
  <si>
    <t>Web Developing</t>
  </si>
  <si>
    <t>Manuals</t>
  </si>
  <si>
    <t>Coupons</t>
  </si>
  <si>
    <t>Total Sales CR - End User</t>
  </si>
  <si>
    <t>Sales CR - Technical</t>
  </si>
  <si>
    <t>MOC Courses</t>
  </si>
  <si>
    <t>Symantec</t>
  </si>
  <si>
    <t>CIW</t>
  </si>
  <si>
    <t>Web Development &amp; Programming</t>
  </si>
  <si>
    <t>Total Sales CR - Technical</t>
  </si>
  <si>
    <t>Sales CR - Room Hire</t>
  </si>
  <si>
    <t>Total Sales CR - Room Hire</t>
  </si>
  <si>
    <t>Sales CR -  Channel Training</t>
  </si>
  <si>
    <t>Channel training</t>
  </si>
  <si>
    <t>Total Sales - Class Room Based</t>
  </si>
  <si>
    <t>Sales - Non Class Room Based</t>
  </si>
  <si>
    <t>Sales - Non CR - EVC</t>
  </si>
  <si>
    <t>Total Sales - Non CR - EVC</t>
  </si>
  <si>
    <t>Sales Non CR - Others</t>
  </si>
  <si>
    <t>Measure Up</t>
  </si>
  <si>
    <t>Total Sales - Non Class Room Based</t>
  </si>
  <si>
    <t>Internet Technology</t>
  </si>
  <si>
    <t>MS-Office Applications</t>
  </si>
  <si>
    <t>Room Rentals - Technical</t>
  </si>
  <si>
    <t>Self Test Software</t>
  </si>
  <si>
    <t>COS Class Room Based</t>
  </si>
  <si>
    <t>COS CR - End User</t>
  </si>
  <si>
    <t>End User - Course Materials</t>
  </si>
  <si>
    <t>End User - Freelance Training</t>
  </si>
  <si>
    <t>End User - Others</t>
  </si>
  <si>
    <t>Total COS CR - End User</t>
  </si>
  <si>
    <t>COS CR Technical</t>
  </si>
  <si>
    <t>Technical - Course Materials</t>
  </si>
  <si>
    <t>Technical - Freelance Training</t>
  </si>
  <si>
    <t>Technical - Other Expenses</t>
  </si>
  <si>
    <t>Total COS CR Technical</t>
  </si>
  <si>
    <t>COS CR Channel Training</t>
  </si>
  <si>
    <t>Ch Trg - Course Materials</t>
  </si>
  <si>
    <t>Total COS Class Room Based</t>
  </si>
  <si>
    <t>COS Non Class Room Based</t>
  </si>
  <si>
    <t>COS Non CR - EVC</t>
  </si>
  <si>
    <t>Total Others</t>
  </si>
  <si>
    <t>Staff Set Up</t>
  </si>
  <si>
    <t>EXTRAORDINARY EXPENSES</t>
  </si>
  <si>
    <t>Writeoff-Bad debts</t>
  </si>
  <si>
    <t>Total EXTRAORDINARY EXPENSES</t>
  </si>
  <si>
    <t>Late Fees Paid</t>
  </si>
  <si>
    <t>Miscellaneous Income</t>
  </si>
  <si>
    <t>Depn - Library Books</t>
  </si>
  <si>
    <t>2002(Jan-Nov)/</t>
  </si>
  <si>
    <t>as on 31-12-02</t>
  </si>
  <si>
    <t>Financial budget for the year 2003</t>
  </si>
  <si>
    <t>COS SALES</t>
  </si>
  <si>
    <t>Total sales Till Nov02</t>
  </si>
  <si>
    <t>COST OF SALES</t>
  </si>
  <si>
    <t>Sales Executive</t>
  </si>
  <si>
    <t>Computers -New server 15000-Jan2003</t>
  </si>
  <si>
    <t>New PC'S-6 Nos-FEB2003</t>
  </si>
  <si>
    <t>Projectors-March 2003</t>
  </si>
  <si>
    <t>Lap top-March 2003</t>
  </si>
  <si>
    <t>Actuals</t>
  </si>
  <si>
    <t>Till 2002 Nov02</t>
  </si>
  <si>
    <t>With Symantec</t>
  </si>
  <si>
    <t>Less of Symantec</t>
  </si>
  <si>
    <t>Salary</t>
  </si>
  <si>
    <t>Admin</t>
  </si>
  <si>
    <t>Trg</t>
  </si>
  <si>
    <t>Convey</t>
  </si>
  <si>
    <t>Present</t>
  </si>
  <si>
    <t>Proposed</t>
  </si>
  <si>
    <t>For 12 months</t>
  </si>
  <si>
    <t>Increase</t>
  </si>
  <si>
    <t>Shazia</t>
  </si>
  <si>
    <t>Abdul</t>
  </si>
  <si>
    <t>NP</t>
  </si>
  <si>
    <t>New for Manoj</t>
  </si>
  <si>
    <t>New for Exec</t>
  </si>
  <si>
    <t>From Jan</t>
  </si>
  <si>
    <t>Repl for KH</t>
  </si>
  <si>
    <t>Total salary</t>
  </si>
  <si>
    <t>Grautity</t>
  </si>
  <si>
    <t>Training Overtime</t>
  </si>
  <si>
    <t>Training Incentive</t>
  </si>
  <si>
    <t>New Sale Staff From July @12000*4</t>
  </si>
  <si>
    <t>Total Cash Breakeven</t>
  </si>
  <si>
    <t>Total Breakeven</t>
  </si>
  <si>
    <t>G.P Ratio</t>
  </si>
  <si>
    <t>Course Material &amp; Others</t>
  </si>
  <si>
    <t>Sales Incentive  2% of Sales</t>
  </si>
  <si>
    <t>Royality &amp; Advert./Marketing Fee</t>
  </si>
  <si>
    <t>Balance b/f is the Balance as per books on 1st Jan, 2003</t>
  </si>
  <si>
    <t>Includes</t>
  </si>
  <si>
    <t>Capex for 2003</t>
  </si>
  <si>
    <t>Finance Incharge</t>
  </si>
  <si>
    <t>Trade Creditors is the Estimated Balance as on 31/12/02</t>
  </si>
  <si>
    <t>Printer for Accounts-Jan2003</t>
  </si>
  <si>
    <t>The Figures for Capital Expenditure are as below:</t>
  </si>
  <si>
    <t xml:space="preserve">Most of the administration expenses have Maintained at The same as in last year level </t>
  </si>
  <si>
    <t>Salaries &amp; Wages have been increased, Increase in the staff has also been budgeted</t>
  </si>
  <si>
    <t xml:space="preserve">Immigration and Visa expenses include provision for New Visas </t>
  </si>
  <si>
    <t>4 to 7</t>
  </si>
  <si>
    <t>2002 -50% , 50%*</t>
  </si>
  <si>
    <t>*2002 Debtors 31st Decemeber Figures less of Unearned Income</t>
  </si>
  <si>
    <t>Attachement</t>
  </si>
  <si>
    <t>Staff Requirement Sheet</t>
  </si>
  <si>
    <t>Sales Incentive Sheet</t>
  </si>
  <si>
    <t>ABC GROUP</t>
  </si>
  <si>
    <t>Reliance Systems</t>
  </si>
</sst>
</file>

<file path=xl/styles.xml><?xml version="1.0" encoding="utf-8"?>
<styleSheet xmlns="http://schemas.openxmlformats.org/spreadsheetml/2006/main">
  <numFmts count="8">
    <numFmt numFmtId="41" formatCode="_(* #,##0_);_(* \(#,##0\);_(* &quot;-&quot;_);_(@_)"/>
    <numFmt numFmtId="43" formatCode="_(* #,##0.00_);_(* \(#,##0.00\);_(* &quot;-&quot;??_);_(@_)"/>
    <numFmt numFmtId="182" formatCode="0.0%"/>
    <numFmt numFmtId="185" formatCode="_(* #,##0_);_(* \(#,##0\);_(* &quot;-&quot;??_);_(@_)"/>
    <numFmt numFmtId="201" formatCode="_-* #,##0.00_-;\-* #,##0.00_-;_-* &quot;-&quot;??_-;_-@_-"/>
    <numFmt numFmtId="203" formatCode="0.00_);[Red]\(0.00\)"/>
    <numFmt numFmtId="209" formatCode="_-* #,##0_-;\-* #,##0_-;_-* &quot;-&quot;??_-;_-@_-"/>
    <numFmt numFmtId="210" formatCode="0.00_);\(0.00\)"/>
  </numFmts>
  <fonts count="64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1"/>
      <name val="Arial Rounded MT Bold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Arial Rounded MT Bold"/>
      <family val="2"/>
    </font>
    <font>
      <b/>
      <sz val="10"/>
      <name val="MS Sans Serif"/>
      <family val="2"/>
    </font>
    <font>
      <b/>
      <sz val="10"/>
      <name val="Book Antiqua"/>
      <family val="1"/>
    </font>
    <font>
      <b/>
      <sz val="9"/>
      <name val="Arial Rounded MT Bold"/>
      <family val="2"/>
    </font>
    <font>
      <b/>
      <sz val="8"/>
      <name val="Arial Rounded MT Bold"/>
      <family val="2"/>
    </font>
    <font>
      <sz val="8"/>
      <name val="Arial Rounded MT Bold"/>
      <family val="2"/>
    </font>
    <font>
      <b/>
      <u/>
      <sz val="10"/>
      <name val="Arial Rounded MT Bold"/>
      <family val="2"/>
    </font>
    <font>
      <b/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1"/>
      <name val="Arial Narrow"/>
      <family val="2"/>
    </font>
    <font>
      <b/>
      <sz val="10"/>
      <name val="Times New Roman"/>
      <family val="1"/>
    </font>
    <font>
      <b/>
      <u/>
      <sz val="10"/>
      <name val="Times New Roman"/>
      <family val="1"/>
    </font>
    <font>
      <i/>
      <u/>
      <sz val="10"/>
      <name val="Times New Roman"/>
      <family val="1"/>
    </font>
    <font>
      <sz val="10"/>
      <color indexed="8"/>
      <name val="Times New Roman"/>
      <family val="1"/>
    </font>
    <font>
      <u/>
      <sz val="10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9"/>
      <name val="Arial"/>
      <family val="2"/>
    </font>
    <font>
      <i/>
      <sz val="10"/>
      <name val="Arial"/>
      <family val="2"/>
    </font>
    <font>
      <b/>
      <u/>
      <sz val="11"/>
      <name val="Arial Rounded MT Bold"/>
      <family val="2"/>
    </font>
    <font>
      <b/>
      <sz val="20"/>
      <name val="Myriad Roman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sz val="9.5"/>
      <name val="Arial"/>
      <family val="2"/>
    </font>
    <font>
      <sz val="9.75"/>
      <name val="Arial"/>
      <family val="2"/>
    </font>
    <font>
      <b/>
      <sz val="8"/>
      <name val="Arial Rounded MT Bold"/>
      <family val="2"/>
    </font>
    <font>
      <sz val="8"/>
      <name val="Arial"/>
      <family val="2"/>
    </font>
    <font>
      <b/>
      <sz val="10"/>
      <color indexed="16"/>
      <name val="Times New Roman"/>
      <family val="1"/>
    </font>
    <font>
      <b/>
      <sz val="8"/>
      <color indexed="16"/>
      <name val="Times New Roman"/>
      <family val="1"/>
    </font>
    <font>
      <i/>
      <sz val="9"/>
      <name val="Times New Roman"/>
      <family val="1"/>
    </font>
    <font>
      <i/>
      <sz val="8"/>
      <name val="Times New Roman"/>
      <family val="1"/>
    </font>
    <font>
      <b/>
      <sz val="16"/>
      <color indexed="16"/>
      <name val="Times New Roman"/>
      <family val="1"/>
    </font>
    <font>
      <b/>
      <sz val="9"/>
      <color indexed="16"/>
      <name val="Times New Roman"/>
      <family val="1"/>
    </font>
    <font>
      <b/>
      <sz val="10"/>
      <color indexed="9"/>
      <name val="Times New Roman"/>
      <family val="1"/>
    </font>
    <font>
      <sz val="9"/>
      <name val="Arial"/>
      <family val="2"/>
    </font>
    <font>
      <sz val="8"/>
      <color indexed="56"/>
      <name val="Arial"/>
      <family val="2"/>
    </font>
    <font>
      <sz val="10"/>
      <name val="MS Sans Serif"/>
      <family val="2"/>
    </font>
    <font>
      <sz val="10"/>
      <name val="Book Antiqua"/>
      <family val="1"/>
    </font>
    <font>
      <i/>
      <sz val="10"/>
      <color indexed="48"/>
      <name val="Times New Roman"/>
      <family val="1"/>
    </font>
    <font>
      <sz val="10"/>
      <color indexed="48"/>
      <name val="Arial"/>
      <family val="2"/>
    </font>
    <font>
      <sz val="10"/>
      <color indexed="48"/>
      <name val="Times New Roman"/>
      <family val="1"/>
    </font>
    <font>
      <b/>
      <u/>
      <sz val="10"/>
      <color indexed="48"/>
      <name val="Arial Rounded MT Bold"/>
      <family val="2"/>
    </font>
    <font>
      <b/>
      <sz val="10"/>
      <color indexed="48"/>
      <name val="Arial"/>
      <family val="2"/>
    </font>
    <font>
      <b/>
      <sz val="10"/>
      <color indexed="48"/>
      <name val="Arial Rounded MT Bold"/>
      <family val="2"/>
    </font>
    <font>
      <sz val="10"/>
      <color indexed="10"/>
      <name val="Arial"/>
      <family val="2"/>
    </font>
    <font>
      <sz val="14"/>
      <name val="Arial"/>
      <family val="2"/>
    </font>
    <font>
      <b/>
      <sz val="14"/>
      <name val="Arial Rounded MT Bold"/>
      <family val="2"/>
    </font>
    <font>
      <b/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185" fontId="1" fillId="0" borderId="4" xfId="1" applyNumberFormat="1" applyBorder="1"/>
    <xf numFmtId="9" fontId="1" fillId="0" borderId="5" xfId="3" applyBorder="1" applyAlignment="1">
      <alignment horizontal="center"/>
    </xf>
    <xf numFmtId="185" fontId="1" fillId="0" borderId="0" xfId="1" applyNumberFormat="1" applyBorder="1"/>
    <xf numFmtId="9" fontId="1" fillId="0" borderId="5" xfId="3" applyBorder="1"/>
    <xf numFmtId="182" fontId="1" fillId="0" borderId="5" xfId="3" applyNumberFormat="1" applyBorder="1"/>
    <xf numFmtId="43" fontId="1" fillId="0" borderId="0" xfId="1" applyBorder="1"/>
    <xf numFmtId="9" fontId="1" fillId="0" borderId="4" xfId="3" applyBorder="1"/>
    <xf numFmtId="0" fontId="3" fillId="0" borderId="9" xfId="0" applyFont="1" applyBorder="1" applyAlignment="1">
      <alignment horizontal="center"/>
    </xf>
    <xf numFmtId="43" fontId="1" fillId="0" borderId="4" xfId="1" applyBorder="1"/>
    <xf numFmtId="0" fontId="0" fillId="0" borderId="0" xfId="0" applyBorder="1"/>
    <xf numFmtId="0" fontId="5" fillId="0" borderId="4" xfId="0" applyFont="1" applyBorder="1"/>
    <xf numFmtId="0" fontId="3" fillId="0" borderId="9" xfId="0" applyFont="1" applyBorder="1" applyAlignment="1">
      <alignment horizontal="left"/>
    </xf>
    <xf numFmtId="0" fontId="0" fillId="0" borderId="10" xfId="0" applyBorder="1"/>
    <xf numFmtId="185" fontId="1" fillId="0" borderId="9" xfId="1" applyNumberFormat="1" applyBorder="1"/>
    <xf numFmtId="0" fontId="2" fillId="0" borderId="4" xfId="0" applyFont="1" applyBorder="1"/>
    <xf numFmtId="0" fontId="6" fillId="0" borderId="4" xfId="0" applyFont="1" applyBorder="1"/>
    <xf numFmtId="43" fontId="1" fillId="0" borderId="0" xfId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1" xfId="0" applyBorder="1"/>
    <xf numFmtId="0" fontId="9" fillId="0" borderId="0" xfId="0" applyFont="1"/>
    <xf numFmtId="0" fontId="9" fillId="0" borderId="4" xfId="0" applyFont="1" applyBorder="1"/>
    <xf numFmtId="0" fontId="9" fillId="0" borderId="0" xfId="0" applyFont="1" applyBorder="1"/>
    <xf numFmtId="0" fontId="0" fillId="0" borderId="5" xfId="0" applyBorder="1"/>
    <xf numFmtId="185" fontId="1" fillId="0" borderId="4" xfId="1" applyNumberFormat="1" applyBorder="1" applyAlignment="1">
      <alignment horizontal="center"/>
    </xf>
    <xf numFmtId="185" fontId="1" fillId="0" borderId="5" xfId="1" applyNumberFormat="1" applyBorder="1"/>
    <xf numFmtId="1" fontId="0" fillId="0" borderId="4" xfId="0" applyNumberFormat="1" applyBorder="1"/>
    <xf numFmtId="185" fontId="0" fillId="0" borderId="0" xfId="0" applyNumberFormat="1"/>
    <xf numFmtId="185" fontId="2" fillId="0" borderId="4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5" fontId="2" fillId="0" borderId="5" xfId="1" applyNumberFormat="1" applyFont="1" applyBorder="1"/>
    <xf numFmtId="185" fontId="2" fillId="0" borderId="0" xfId="1" applyNumberFormat="1" applyFont="1" applyBorder="1"/>
    <xf numFmtId="0" fontId="2" fillId="0" borderId="0" xfId="0" applyFont="1" applyAlignment="1">
      <alignment horizontal="left"/>
    </xf>
    <xf numFmtId="185" fontId="2" fillId="0" borderId="10" xfId="1" applyNumberFormat="1" applyFont="1" applyBorder="1"/>
    <xf numFmtId="185" fontId="1" fillId="0" borderId="0" xfId="1" applyNumberFormat="1"/>
    <xf numFmtId="185" fontId="1" fillId="0" borderId="3" xfId="1" applyNumberFormat="1" applyBorder="1"/>
    <xf numFmtId="9" fontId="2" fillId="0" borderId="5" xfId="3" applyFont="1" applyBorder="1"/>
    <xf numFmtId="0" fontId="5" fillId="0" borderId="5" xfId="0" applyFont="1" applyBorder="1"/>
    <xf numFmtId="1" fontId="0" fillId="0" borderId="0" xfId="0" applyNumberFormat="1"/>
    <xf numFmtId="0" fontId="8" fillId="0" borderId="5" xfId="0" applyFont="1" applyBorder="1"/>
    <xf numFmtId="185" fontId="2" fillId="0" borderId="5" xfId="0" applyNumberFormat="1" applyFont="1" applyBorder="1"/>
    <xf numFmtId="0" fontId="0" fillId="0" borderId="8" xfId="0" applyBorder="1" applyAlignment="1">
      <alignment horizontal="center"/>
    </xf>
    <xf numFmtId="0" fontId="8" fillId="0" borderId="7" xfId="0" applyFont="1" applyBorder="1"/>
    <xf numFmtId="0" fontId="2" fillId="0" borderId="8" xfId="0" applyFont="1" applyBorder="1"/>
    <xf numFmtId="185" fontId="2" fillId="0" borderId="7" xfId="0" applyNumberFormat="1" applyFont="1" applyBorder="1"/>
    <xf numFmtId="0" fontId="4" fillId="0" borderId="0" xfId="0" applyFont="1"/>
    <xf numFmtId="0" fontId="10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17" fontId="7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17" fontId="14" fillId="0" borderId="0" xfId="0" applyNumberFormat="1" applyFont="1" applyBorder="1" applyAlignment="1">
      <alignment horizontal="center"/>
    </xf>
    <xf numFmtId="17" fontId="14" fillId="0" borderId="5" xfId="0" applyNumberFormat="1" applyFont="1" applyBorder="1" applyAlignment="1">
      <alignment horizontal="center"/>
    </xf>
    <xf numFmtId="17" fontId="14" fillId="0" borderId="11" xfId="0" applyNumberFormat="1" applyFont="1" applyBorder="1" applyAlignment="1">
      <alignment horizontal="center"/>
    </xf>
    <xf numFmtId="43" fontId="4" fillId="0" borderId="0" xfId="1" applyFont="1" applyBorder="1"/>
    <xf numFmtId="9" fontId="1" fillId="0" borderId="11" xfId="3" applyBorder="1"/>
    <xf numFmtId="0" fontId="1" fillId="0" borderId="4" xfId="0" applyFont="1" applyBorder="1"/>
    <xf numFmtId="0" fontId="1" fillId="0" borderId="0" xfId="0" applyFont="1" applyBorder="1"/>
    <xf numFmtId="0" fontId="4" fillId="0" borderId="0" xfId="0" applyFont="1" applyBorder="1"/>
    <xf numFmtId="0" fontId="2" fillId="0" borderId="9" xfId="0" applyFont="1" applyBorder="1"/>
    <xf numFmtId="9" fontId="2" fillId="0" borderId="12" xfId="3" applyFont="1" applyBorder="1"/>
    <xf numFmtId="185" fontId="4" fillId="0" borderId="0" xfId="1" applyNumberFormat="1" applyFont="1" applyBorder="1"/>
    <xf numFmtId="185" fontId="7" fillId="0" borderId="0" xfId="1" applyNumberFormat="1" applyFont="1" applyAlignment="1">
      <alignment horizontal="center"/>
    </xf>
    <xf numFmtId="9" fontId="7" fillId="0" borderId="11" xfId="3" applyFont="1" applyBorder="1" applyAlignment="1">
      <alignment horizontal="center"/>
    </xf>
    <xf numFmtId="185" fontId="2" fillId="0" borderId="13" xfId="1" applyNumberFormat="1" applyFont="1" applyBorder="1"/>
    <xf numFmtId="185" fontId="2" fillId="0" borderId="0" xfId="1" applyNumberFormat="1" applyFont="1" applyBorder="1" applyAlignment="1">
      <alignment horizontal="center"/>
    </xf>
    <xf numFmtId="9" fontId="2" fillId="0" borderId="14" xfId="3" applyFont="1" applyBorder="1"/>
    <xf numFmtId="0" fontId="14" fillId="0" borderId="4" xfId="0" applyFont="1" applyBorder="1"/>
    <xf numFmtId="185" fontId="14" fillId="0" borderId="0" xfId="1" applyNumberFormat="1" applyFont="1" applyBorder="1"/>
    <xf numFmtId="185" fontId="14" fillId="0" borderId="5" xfId="1" applyNumberFormat="1" applyFont="1" applyBorder="1"/>
    <xf numFmtId="9" fontId="14" fillId="0" borderId="11" xfId="3" applyFont="1" applyBorder="1"/>
    <xf numFmtId="0" fontId="2" fillId="0" borderId="0" xfId="0" applyFont="1" applyBorder="1"/>
    <xf numFmtId="185" fontId="2" fillId="0" borderId="3" xfId="1" applyNumberFormat="1" applyFont="1" applyBorder="1"/>
    <xf numFmtId="9" fontId="2" fillId="0" borderId="11" xfId="3" applyFont="1" applyBorder="1"/>
    <xf numFmtId="185" fontId="2" fillId="0" borderId="0" xfId="1" applyNumberFormat="1" applyFont="1" applyAlignment="1">
      <alignment horizontal="center"/>
    </xf>
    <xf numFmtId="0" fontId="2" fillId="0" borderId="0" xfId="0" applyFont="1" applyAlignment="1"/>
    <xf numFmtId="0" fontId="14" fillId="0" borderId="0" xfId="0" applyFont="1" applyBorder="1" applyAlignment="1">
      <alignment horizontal="left"/>
    </xf>
    <xf numFmtId="185" fontId="14" fillId="0" borderId="0" xfId="1" applyNumberFormat="1" applyFont="1" applyBorder="1" applyAlignment="1">
      <alignment horizontal="left"/>
    </xf>
    <xf numFmtId="185" fontId="14" fillId="0" borderId="9" xfId="1" applyNumberFormat="1" applyFont="1" applyBorder="1"/>
    <xf numFmtId="185" fontId="14" fillId="0" borderId="10" xfId="1" applyNumberFormat="1" applyFont="1" applyBorder="1"/>
    <xf numFmtId="185" fontId="14" fillId="0" borderId="13" xfId="1" applyNumberFormat="1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5" fontId="2" fillId="0" borderId="8" xfId="1" applyNumberFormat="1" applyFont="1" applyBorder="1" applyAlignment="1">
      <alignment horizontal="center"/>
    </xf>
    <xf numFmtId="185" fontId="2" fillId="0" borderId="9" xfId="0" applyNumberFormat="1" applyFont="1" applyBorder="1"/>
    <xf numFmtId="185" fontId="4" fillId="0" borderId="0" xfId="1" applyNumberFormat="1" applyFont="1"/>
    <xf numFmtId="185" fontId="2" fillId="0" borderId="12" xfId="0" applyNumberFormat="1" applyFont="1" applyBorder="1"/>
    <xf numFmtId="0" fontId="0" fillId="0" borderId="7" xfId="0" applyBorder="1"/>
    <xf numFmtId="9" fontId="0" fillId="0" borderId="0" xfId="3" applyFont="1"/>
    <xf numFmtId="9" fontId="0" fillId="0" borderId="10" xfId="3" applyFont="1" applyBorder="1"/>
    <xf numFmtId="38" fontId="0" fillId="0" borderId="10" xfId="0" applyNumberFormat="1" applyBorder="1"/>
    <xf numFmtId="0" fontId="2" fillId="0" borderId="15" xfId="0" applyFont="1" applyBorder="1"/>
    <xf numFmtId="9" fontId="2" fillId="0" borderId="16" xfId="3" applyFont="1" applyBorder="1"/>
    <xf numFmtId="17" fontId="2" fillId="0" borderId="16" xfId="0" applyNumberFormat="1" applyFont="1" applyBorder="1"/>
    <xf numFmtId="0" fontId="2" fillId="0" borderId="17" xfId="0" applyFont="1" applyBorder="1" applyAlignment="1">
      <alignment horizontal="center"/>
    </xf>
    <xf numFmtId="0" fontId="0" fillId="0" borderId="18" xfId="0" applyBorder="1"/>
    <xf numFmtId="9" fontId="0" fillId="0" borderId="0" xfId="3" applyFont="1" applyBorder="1"/>
    <xf numFmtId="0" fontId="0" fillId="0" borderId="19" xfId="0" applyBorder="1"/>
    <xf numFmtId="0" fontId="5" fillId="0" borderId="18" xfId="0" applyFont="1" applyBorder="1"/>
    <xf numFmtId="0" fontId="9" fillId="0" borderId="18" xfId="0" applyFont="1" applyBorder="1"/>
    <xf numFmtId="38" fontId="0" fillId="0" borderId="0" xfId="0" applyNumberFormat="1" applyBorder="1"/>
    <xf numFmtId="38" fontId="0" fillId="0" borderId="19" xfId="0" applyNumberFormat="1" applyBorder="1"/>
    <xf numFmtId="0" fontId="2" fillId="0" borderId="20" xfId="0" applyFont="1" applyBorder="1" applyAlignment="1">
      <alignment horizontal="left"/>
    </xf>
    <xf numFmtId="38" fontId="0" fillId="0" borderId="21" xfId="0" applyNumberFormat="1" applyBorder="1"/>
    <xf numFmtId="0" fontId="2" fillId="0" borderId="22" xfId="0" applyFont="1" applyBorder="1" applyAlignment="1">
      <alignment horizontal="left"/>
    </xf>
    <xf numFmtId="9" fontId="0" fillId="0" borderId="23" xfId="3" applyFont="1" applyBorder="1"/>
    <xf numFmtId="0" fontId="8" fillId="0" borderId="0" xfId="0" applyFont="1" applyBorder="1"/>
    <xf numFmtId="9" fontId="0" fillId="0" borderId="24" xfId="3" applyFont="1" applyBorder="1"/>
    <xf numFmtId="0" fontId="0" fillId="0" borderId="24" xfId="0" applyBorder="1"/>
    <xf numFmtId="38" fontId="0" fillId="0" borderId="24" xfId="0" applyNumberFormat="1" applyBorder="1"/>
    <xf numFmtId="0" fontId="4" fillId="0" borderId="18" xfId="0" applyFont="1" applyBorder="1"/>
    <xf numFmtId="0" fontId="0" fillId="0" borderId="25" xfId="0" applyBorder="1"/>
    <xf numFmtId="0" fontId="8" fillId="0" borderId="25" xfId="0" applyFont="1" applyBorder="1"/>
    <xf numFmtId="0" fontId="16" fillId="0" borderId="14" xfId="0" applyFont="1" applyBorder="1" applyAlignment="1">
      <alignment horizontal="centerContinuous"/>
    </xf>
    <xf numFmtId="0" fontId="16" fillId="0" borderId="3" xfId="0" applyFont="1" applyBorder="1" applyAlignment="1">
      <alignment horizontal="centerContinuous"/>
    </xf>
    <xf numFmtId="0" fontId="16" fillId="0" borderId="3" xfId="0" applyFont="1" applyBorder="1" applyAlignment="1">
      <alignment horizontal="center"/>
    </xf>
    <xf numFmtId="0" fontId="16" fillId="0" borderId="26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0" fontId="16" fillId="0" borderId="13" xfId="0" applyFont="1" applyBorder="1" applyAlignment="1">
      <alignment horizontal="centerContinuous"/>
    </xf>
    <xf numFmtId="0" fontId="16" fillId="0" borderId="13" xfId="0" applyFont="1" applyBorder="1" applyAlignment="1">
      <alignment horizontal="center"/>
    </xf>
    <xf numFmtId="0" fontId="15" fillId="0" borderId="12" xfId="0" applyFont="1" applyBorder="1"/>
    <xf numFmtId="0" fontId="0" fillId="0" borderId="26" xfId="0" applyBorder="1" applyAlignment="1">
      <alignment horizontal="center"/>
    </xf>
    <xf numFmtId="0" fontId="16" fillId="0" borderId="11" xfId="0" applyFont="1" applyBorder="1"/>
    <xf numFmtId="0" fontId="16" fillId="0" borderId="5" xfId="0" applyFont="1" applyBorder="1"/>
    <xf numFmtId="0" fontId="16" fillId="0" borderId="5" xfId="0" applyFont="1" applyBorder="1" applyAlignment="1">
      <alignment horizontal="centerContinuous"/>
    </xf>
    <xf numFmtId="185" fontId="15" fillId="0" borderId="5" xfId="1" applyNumberFormat="1" applyFont="1" applyBorder="1"/>
    <xf numFmtId="0" fontId="0" fillId="0" borderId="14" xfId="0" applyBorder="1"/>
    <xf numFmtId="0" fontId="15" fillId="0" borderId="11" xfId="0" applyFont="1" applyBorder="1" applyAlignment="1">
      <alignment horizontal="centerContinuous"/>
    </xf>
    <xf numFmtId="0" fontId="15" fillId="0" borderId="5" xfId="0" applyFont="1" applyBorder="1"/>
    <xf numFmtId="14" fontId="15" fillId="0" borderId="5" xfId="0" applyNumberFormat="1" applyFont="1" applyBorder="1"/>
    <xf numFmtId="0" fontId="15" fillId="0" borderId="27" xfId="0" applyFont="1" applyBorder="1" applyAlignment="1">
      <alignment horizontal="centerContinuous"/>
    </xf>
    <xf numFmtId="0" fontId="15" fillId="0" borderId="27" xfId="0" applyFont="1" applyBorder="1"/>
    <xf numFmtId="185" fontId="0" fillId="0" borderId="27" xfId="0" applyNumberFormat="1" applyBorder="1"/>
    <xf numFmtId="0" fontId="15" fillId="0" borderId="11" xfId="0" applyFont="1" applyBorder="1" applyAlignment="1">
      <alignment horizontal="center"/>
    </xf>
    <xf numFmtId="0" fontId="17" fillId="0" borderId="11" xfId="0" applyFont="1" applyBorder="1"/>
    <xf numFmtId="0" fontId="17" fillId="0" borderId="5" xfId="0" applyFont="1" applyBorder="1"/>
    <xf numFmtId="0" fontId="17" fillId="0" borderId="0" xfId="0" applyFont="1"/>
    <xf numFmtId="17" fontId="0" fillId="0" borderId="0" xfId="0" applyNumberFormat="1"/>
    <xf numFmtId="38" fontId="17" fillId="0" borderId="0" xfId="0" applyNumberFormat="1" applyFont="1"/>
    <xf numFmtId="38" fontId="0" fillId="0" borderId="0" xfId="0" applyNumberFormat="1"/>
    <xf numFmtId="38" fontId="0" fillId="0" borderId="27" xfId="0" applyNumberFormat="1" applyBorder="1"/>
    <xf numFmtId="0" fontId="2" fillId="0" borderId="10" xfId="0" applyFont="1" applyBorder="1"/>
    <xf numFmtId="43" fontId="1" fillId="0" borderId="0" xfId="1" applyNumberFormat="1" applyBorder="1"/>
    <xf numFmtId="9" fontId="2" fillId="0" borderId="13" xfId="3" applyFont="1" applyBorder="1" applyAlignment="1">
      <alignment horizontal="right"/>
    </xf>
    <xf numFmtId="38" fontId="7" fillId="0" borderId="0" xfId="0" applyNumberFormat="1" applyFont="1" applyAlignment="1">
      <alignment horizontal="center"/>
    </xf>
    <xf numFmtId="38" fontId="13" fillId="0" borderId="0" xfId="0" applyNumberFormat="1" applyFont="1" applyAlignment="1">
      <alignment horizontal="left"/>
    </xf>
    <xf numFmtId="38" fontId="4" fillId="0" borderId="0" xfId="0" applyNumberFormat="1" applyFont="1" applyBorder="1"/>
    <xf numFmtId="38" fontId="1" fillId="0" borderId="0" xfId="0" applyNumberFormat="1" applyFont="1" applyBorder="1"/>
    <xf numFmtId="38" fontId="1" fillId="0" borderId="0" xfId="1" applyNumberFormat="1" applyBorder="1"/>
    <xf numFmtId="38" fontId="2" fillId="0" borderId="10" xfId="0" applyNumberFormat="1" applyFont="1" applyBorder="1"/>
    <xf numFmtId="38" fontId="2" fillId="0" borderId="0" xfId="0" applyNumberFormat="1" applyFont="1" applyBorder="1" applyAlignment="1">
      <alignment horizontal="center"/>
    </xf>
    <xf numFmtId="38" fontId="14" fillId="0" borderId="0" xfId="0" applyNumberFormat="1" applyFont="1" applyBorder="1"/>
    <xf numFmtId="38" fontId="2" fillId="0" borderId="0" xfId="0" applyNumberFormat="1" applyFont="1" applyBorder="1"/>
    <xf numFmtId="38" fontId="2" fillId="0" borderId="0" xfId="0" applyNumberFormat="1" applyFont="1" applyAlignment="1"/>
    <xf numFmtId="38" fontId="2" fillId="0" borderId="0" xfId="0" applyNumberFormat="1" applyFont="1" applyAlignment="1">
      <alignment horizontal="left"/>
    </xf>
    <xf numFmtId="38" fontId="14" fillId="0" borderId="0" xfId="0" applyNumberFormat="1" applyFont="1" applyBorder="1" applyAlignment="1">
      <alignment horizontal="left"/>
    </xf>
    <xf numFmtId="38" fontId="2" fillId="0" borderId="8" xfId="0" applyNumberFormat="1" applyFont="1" applyBorder="1" applyAlignment="1">
      <alignment horizontal="center"/>
    </xf>
    <xf numFmtId="38" fontId="4" fillId="0" borderId="0" xfId="0" applyNumberFormat="1" applyFont="1"/>
    <xf numFmtId="38" fontId="2" fillId="0" borderId="0" xfId="0" applyNumberFormat="1" applyFont="1"/>
    <xf numFmtId="185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9" fontId="0" fillId="0" borderId="0" xfId="0" applyNumberFormat="1"/>
    <xf numFmtId="9" fontId="0" fillId="0" borderId="0" xfId="0" applyNumberFormat="1" applyBorder="1"/>
    <xf numFmtId="43" fontId="1" fillId="0" borderId="0" xfId="0" applyNumberFormat="1" applyFont="1" applyBorder="1"/>
    <xf numFmtId="185" fontId="1" fillId="0" borderId="0" xfId="0" applyNumberFormat="1" applyFont="1" applyFill="1" applyBorder="1"/>
    <xf numFmtId="0" fontId="0" fillId="0" borderId="0" xfId="0" applyFill="1"/>
    <xf numFmtId="185" fontId="1" fillId="0" borderId="0" xfId="1" applyNumberFormat="1" applyFill="1"/>
    <xf numFmtId="38" fontId="1" fillId="0" borderId="0" xfId="0" applyNumberFormat="1" applyFont="1" applyFill="1" applyBorder="1"/>
    <xf numFmtId="185" fontId="1" fillId="0" borderId="0" xfId="1" applyNumberFormat="1" applyFill="1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/>
    <xf numFmtId="0" fontId="19" fillId="0" borderId="0" xfId="0" applyFont="1"/>
    <xf numFmtId="0" fontId="15" fillId="0" borderId="0" xfId="0" applyFont="1"/>
    <xf numFmtId="0" fontId="20" fillId="0" borderId="0" xfId="0" applyFont="1"/>
    <xf numFmtId="209" fontId="15" fillId="0" borderId="0" xfId="2" applyNumberFormat="1" applyFont="1"/>
    <xf numFmtId="209" fontId="20" fillId="0" borderId="0" xfId="2" applyNumberFormat="1" applyFont="1"/>
    <xf numFmtId="0" fontId="20" fillId="0" borderId="0" xfId="0" applyFont="1" applyAlignment="1">
      <alignment horizontal="center"/>
    </xf>
    <xf numFmtId="1" fontId="20" fillId="0" borderId="0" xfId="2" applyNumberFormat="1" applyFont="1" applyAlignment="1">
      <alignment horizontal="center"/>
    </xf>
    <xf numFmtId="209" fontId="20" fillId="0" borderId="0" xfId="2" applyNumberFormat="1" applyFont="1" applyAlignment="1">
      <alignment horizontal="center"/>
    </xf>
    <xf numFmtId="0" fontId="21" fillId="0" borderId="0" xfId="0" applyFont="1" applyFill="1"/>
    <xf numFmtId="209" fontId="21" fillId="0" borderId="0" xfId="2" applyNumberFormat="1" applyFont="1" applyFill="1"/>
    <xf numFmtId="38" fontId="15" fillId="0" borderId="0" xfId="0" applyNumberFormat="1" applyFont="1"/>
    <xf numFmtId="38" fontId="15" fillId="0" borderId="0" xfId="2" applyNumberFormat="1" applyFont="1"/>
    <xf numFmtId="38" fontId="15" fillId="0" borderId="28" xfId="2" applyNumberFormat="1" applyFont="1" applyBorder="1"/>
    <xf numFmtId="38" fontId="21" fillId="0" borderId="0" xfId="0" applyNumberFormat="1" applyFont="1" applyFill="1"/>
    <xf numFmtId="38" fontId="21" fillId="0" borderId="0" xfId="2" applyNumberFormat="1" applyFont="1" applyFill="1"/>
    <xf numFmtId="3" fontId="15" fillId="0" borderId="28" xfId="0" applyNumberFormat="1" applyFont="1" applyBorder="1"/>
    <xf numFmtId="209" fontId="15" fillId="0" borderId="28" xfId="2" applyNumberFormat="1" applyFont="1" applyBorder="1"/>
    <xf numFmtId="209" fontId="15" fillId="0" borderId="0" xfId="2" applyNumberFormat="1" applyFont="1" applyBorder="1"/>
    <xf numFmtId="38" fontId="15" fillId="0" borderId="0" xfId="2" applyNumberFormat="1" applyFont="1" applyBorder="1"/>
    <xf numFmtId="0" fontId="21" fillId="0" borderId="0" xfId="0" applyFont="1"/>
    <xf numFmtId="0" fontId="21" fillId="0" borderId="0" xfId="0" applyNumberFormat="1" applyFont="1" applyFill="1"/>
    <xf numFmtId="0" fontId="21" fillId="0" borderId="0" xfId="2" applyNumberFormat="1" applyFont="1" applyFill="1"/>
    <xf numFmtId="38" fontId="20" fillId="0" borderId="0" xfId="2" applyNumberFormat="1" applyFont="1" applyAlignment="1">
      <alignment horizontal="center"/>
    </xf>
    <xf numFmtId="0" fontId="22" fillId="0" borderId="0" xfId="0" applyFont="1"/>
    <xf numFmtId="201" fontId="15" fillId="0" borderId="0" xfId="2" applyFont="1"/>
    <xf numFmtId="209" fontId="15" fillId="0" borderId="0" xfId="2" applyNumberFormat="1" applyFont="1" applyAlignment="1"/>
    <xf numFmtId="185" fontId="15" fillId="0" borderId="0" xfId="2" applyNumberFormat="1" applyFont="1"/>
    <xf numFmtId="209" fontId="20" fillId="0" borderId="10" xfId="2" applyNumberFormat="1" applyFont="1" applyBorder="1"/>
    <xf numFmtId="38" fontId="20" fillId="0" borderId="10" xfId="2" applyNumberFormat="1" applyFont="1" applyBorder="1"/>
    <xf numFmtId="0" fontId="15" fillId="0" borderId="0" xfId="0" applyNumberFormat="1" applyFont="1"/>
    <xf numFmtId="210" fontId="15" fillId="0" borderId="0" xfId="2" applyNumberFormat="1" applyFont="1"/>
    <xf numFmtId="209" fontId="20" fillId="0" borderId="29" xfId="2" applyNumberFormat="1" applyFont="1" applyBorder="1"/>
    <xf numFmtId="38" fontId="20" fillId="0" borderId="29" xfId="2" applyNumberFormat="1" applyFont="1" applyBorder="1"/>
    <xf numFmtId="201" fontId="20" fillId="0" borderId="29" xfId="2" applyFont="1" applyBorder="1"/>
    <xf numFmtId="38" fontId="20" fillId="0" borderId="0" xfId="2" applyNumberFormat="1" applyFont="1"/>
    <xf numFmtId="201" fontId="20" fillId="0" borderId="0" xfId="2" applyFont="1"/>
    <xf numFmtId="0" fontId="21" fillId="0" borderId="0" xfId="0" applyFont="1" applyFill="1" applyAlignment="1">
      <alignment horizontal="center"/>
    </xf>
    <xf numFmtId="1" fontId="21" fillId="0" borderId="0" xfId="0" applyNumberFormat="1" applyFont="1" applyFill="1" applyAlignment="1">
      <alignment horizontal="center"/>
    </xf>
    <xf numFmtId="38" fontId="21" fillId="0" borderId="0" xfId="2" applyNumberFormat="1" applyFont="1" applyFill="1" applyAlignment="1">
      <alignment horizontal="center"/>
    </xf>
    <xf numFmtId="0" fontId="21" fillId="0" borderId="0" xfId="0" applyNumberFormat="1" applyFont="1" applyFill="1" applyAlignment="1">
      <alignment horizontal="center"/>
    </xf>
    <xf numFmtId="38" fontId="15" fillId="0" borderId="29" xfId="2" applyNumberFormat="1" applyFont="1" applyBorder="1"/>
    <xf numFmtId="38" fontId="15" fillId="0" borderId="10" xfId="2" applyNumberFormat="1" applyFont="1" applyBorder="1"/>
    <xf numFmtId="38" fontId="15" fillId="0" borderId="29" xfId="0" applyNumberFormat="1" applyFont="1" applyBorder="1"/>
    <xf numFmtId="0" fontId="21" fillId="0" borderId="0" xfId="2" applyNumberFormat="1" applyFont="1"/>
    <xf numFmtId="0" fontId="21" fillId="0" borderId="0" xfId="0" applyNumberFormat="1" applyFont="1"/>
    <xf numFmtId="38" fontId="15" fillId="0" borderId="28" xfId="0" applyNumberFormat="1" applyFont="1" applyBorder="1"/>
    <xf numFmtId="0" fontId="21" fillId="0" borderId="0" xfId="0" applyFont="1" applyFill="1" applyBorder="1" applyAlignment="1">
      <alignment horizontal="center"/>
    </xf>
    <xf numFmtId="0" fontId="15" fillId="0" borderId="0" xfId="0" applyFont="1" applyBorder="1"/>
    <xf numFmtId="0" fontId="23" fillId="0" borderId="0" xfId="0" applyFont="1"/>
    <xf numFmtId="38" fontId="20" fillId="0" borderId="28" xfId="2" applyNumberFormat="1" applyFont="1" applyBorder="1"/>
    <xf numFmtId="38" fontId="20" fillId="0" borderId="0" xfId="2" applyNumberFormat="1" applyFont="1" applyBorder="1"/>
    <xf numFmtId="0" fontId="21" fillId="0" borderId="0" xfId="0" applyFont="1" applyFill="1" applyBorder="1"/>
    <xf numFmtId="209" fontId="20" fillId="0" borderId="0" xfId="2" applyNumberFormat="1" applyFont="1" applyBorder="1"/>
    <xf numFmtId="0" fontId="24" fillId="0" borderId="0" xfId="0" applyFont="1" applyBorder="1" applyAlignment="1">
      <alignment horizontal="center"/>
    </xf>
    <xf numFmtId="0" fontId="21" fillId="0" borderId="0" xfId="2" applyNumberFormat="1" applyFont="1" applyFill="1" applyAlignment="1">
      <alignment horizontal="center"/>
    </xf>
    <xf numFmtId="209" fontId="15" fillId="0" borderId="0" xfId="2" applyNumberFormat="1" applyFont="1" applyBorder="1" applyAlignment="1">
      <alignment horizontal="left"/>
    </xf>
    <xf numFmtId="0" fontId="20" fillId="0" borderId="0" xfId="0" applyFont="1" applyBorder="1"/>
    <xf numFmtId="0" fontId="24" fillId="0" borderId="0" xfId="0" applyFont="1" applyBorder="1"/>
    <xf numFmtId="38" fontId="24" fillId="0" borderId="0" xfId="2" applyNumberFormat="1" applyFont="1"/>
    <xf numFmtId="0" fontId="24" fillId="0" borderId="0" xfId="2" applyNumberFormat="1" applyFont="1" applyFill="1" applyAlignment="1">
      <alignment horizontal="center"/>
    </xf>
    <xf numFmtId="0" fontId="15" fillId="0" borderId="0" xfId="0" applyFont="1" applyBorder="1" applyAlignment="1">
      <alignment horizontal="right"/>
    </xf>
    <xf numFmtId="38" fontId="15" fillId="0" borderId="0" xfId="0" applyNumberFormat="1" applyFont="1" applyBorder="1"/>
    <xf numFmtId="209" fontId="15" fillId="0" borderId="0" xfId="2" applyNumberFormat="1" applyFont="1" applyAlignment="1">
      <alignment horizontal="right"/>
    </xf>
    <xf numFmtId="0" fontId="20" fillId="0" borderId="28" xfId="0" applyFont="1" applyBorder="1"/>
    <xf numFmtId="0" fontId="0" fillId="0" borderId="8" xfId="0" applyBorder="1"/>
    <xf numFmtId="0" fontId="1" fillId="0" borderId="5" xfId="0" applyFont="1" applyBorder="1"/>
    <xf numFmtId="0" fontId="0" fillId="0" borderId="0" xfId="0" applyBorder="1" applyAlignment="1">
      <alignment horizontal="center"/>
    </xf>
    <xf numFmtId="185" fontId="0" fillId="0" borderId="0" xfId="1" applyNumberFormat="1" applyFont="1"/>
    <xf numFmtId="0" fontId="0" fillId="0" borderId="26" xfId="0" applyBorder="1"/>
    <xf numFmtId="0" fontId="2" fillId="0" borderId="11" xfId="0" applyFont="1" applyBorder="1"/>
    <xf numFmtId="0" fontId="2" fillId="0" borderId="12" xfId="0" applyFont="1" applyBorder="1"/>
    <xf numFmtId="0" fontId="1" fillId="0" borderId="11" xfId="0" applyFont="1" applyBorder="1"/>
    <xf numFmtId="0" fontId="2" fillId="0" borderId="5" xfId="0" applyFont="1" applyBorder="1"/>
    <xf numFmtId="40" fontId="0" fillId="0" borderId="0" xfId="0" applyNumberFormat="1"/>
    <xf numFmtId="185" fontId="0" fillId="0" borderId="0" xfId="1" applyNumberFormat="1" applyFont="1" applyBorder="1"/>
    <xf numFmtId="0" fontId="0" fillId="0" borderId="7" xfId="0" applyBorder="1" applyAlignment="1">
      <alignment horizontal="center"/>
    </xf>
    <xf numFmtId="185" fontId="2" fillId="0" borderId="0" xfId="0" applyNumberFormat="1" applyFont="1"/>
    <xf numFmtId="0" fontId="4" fillId="0" borderId="0" xfId="0" applyFont="1" applyAlignment="1">
      <alignment horizontal="center"/>
    </xf>
    <xf numFmtId="185" fontId="2" fillId="0" borderId="0" xfId="1" applyNumberFormat="1" applyFont="1"/>
    <xf numFmtId="0" fontId="6" fillId="0" borderId="0" xfId="0" applyFont="1"/>
    <xf numFmtId="0" fontId="16" fillId="0" borderId="0" xfId="0" applyFont="1" applyBorder="1"/>
    <xf numFmtId="0" fontId="0" fillId="0" borderId="28" xfId="0" applyBorder="1"/>
    <xf numFmtId="0" fontId="5" fillId="0" borderId="0" xfId="0" applyFont="1" applyAlignment="1">
      <alignment horizontal="center"/>
    </xf>
    <xf numFmtId="43" fontId="5" fillId="0" borderId="0" xfId="1" applyFont="1"/>
    <xf numFmtId="43" fontId="2" fillId="0" borderId="12" xfId="1" applyFont="1" applyBorder="1"/>
    <xf numFmtId="185" fontId="4" fillId="0" borderId="0" xfId="0" applyNumberFormat="1" applyFont="1" applyAlignment="1">
      <alignment horizontal="center"/>
    </xf>
    <xf numFmtId="185" fontId="2" fillId="0" borderId="12" xfId="1" applyNumberFormat="1" applyFont="1" applyBorder="1"/>
    <xf numFmtId="43" fontId="2" fillId="0" borderId="0" xfId="1" applyFont="1"/>
    <xf numFmtId="43" fontId="2" fillId="0" borderId="0" xfId="1" applyFont="1" applyAlignment="1">
      <alignment horizontal="center"/>
    </xf>
    <xf numFmtId="43" fontId="2" fillId="0" borderId="0" xfId="1" applyFont="1" applyBorder="1"/>
    <xf numFmtId="0" fontId="2" fillId="0" borderId="0" xfId="0" applyFont="1" applyAlignment="1">
      <alignment horizontal="right"/>
    </xf>
    <xf numFmtId="43" fontId="27" fillId="0" borderId="0" xfId="1" applyFont="1" applyAlignment="1">
      <alignment horizontal="center"/>
    </xf>
    <xf numFmtId="0" fontId="27" fillId="0" borderId="0" xfId="0" applyFont="1" applyAlignment="1">
      <alignment horizontal="center"/>
    </xf>
    <xf numFmtId="43" fontId="2" fillId="0" borderId="9" xfId="1" applyFont="1" applyBorder="1"/>
    <xf numFmtId="185" fontId="2" fillId="0" borderId="9" xfId="1" applyNumberFormat="1" applyFont="1" applyBorder="1"/>
    <xf numFmtId="43" fontId="1" fillId="0" borderId="12" xfId="1" applyBorder="1"/>
    <xf numFmtId="0" fontId="28" fillId="0" borderId="0" xfId="0" applyFont="1"/>
    <xf numFmtId="0" fontId="0" fillId="0" borderId="28" xfId="0" applyBorder="1" applyAlignment="1">
      <alignment horizontal="center"/>
    </xf>
    <xf numFmtId="185" fontId="0" fillId="0" borderId="28" xfId="0" applyNumberFormat="1" applyBorder="1"/>
    <xf numFmtId="38" fontId="0" fillId="0" borderId="0" xfId="1" applyNumberFormat="1" applyFont="1"/>
    <xf numFmtId="38" fontId="0" fillId="0" borderId="28" xfId="1" applyNumberFormat="1" applyFont="1" applyBorder="1"/>
    <xf numFmtId="38" fontId="0" fillId="0" borderId="28" xfId="0" applyNumberFormat="1" applyBorder="1"/>
    <xf numFmtId="38" fontId="0" fillId="0" borderId="28" xfId="0" applyNumberFormat="1" applyFill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9" fillId="0" borderId="11" xfId="0" applyFont="1" applyBorder="1" applyAlignment="1">
      <alignment horizontal="left"/>
    </xf>
    <xf numFmtId="43" fontId="1" fillId="0" borderId="5" xfId="1" applyBorder="1"/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43" fontId="1" fillId="0" borderId="7" xfId="1" applyBorder="1"/>
    <xf numFmtId="43" fontId="0" fillId="0" borderId="0" xfId="0" applyNumberFormat="1"/>
    <xf numFmtId="185" fontId="2" fillId="0" borderId="10" xfId="1" applyNumberFormat="1" applyFont="1" applyFill="1" applyBorder="1"/>
    <xf numFmtId="185" fontId="0" fillId="0" borderId="0" xfId="0" applyNumberFormat="1" applyFill="1"/>
    <xf numFmtId="38" fontId="0" fillId="0" borderId="0" xfId="0" applyNumberFormat="1" applyFill="1"/>
    <xf numFmtId="203" fontId="0" fillId="0" borderId="0" xfId="0" applyNumberFormat="1"/>
    <xf numFmtId="185" fontId="14" fillId="0" borderId="9" xfId="1" applyNumberFormat="1" applyFont="1" applyBorder="1" applyAlignment="1">
      <alignment horizontal="center"/>
    </xf>
    <xf numFmtId="9" fontId="14" fillId="0" borderId="13" xfId="3" applyFont="1" applyBorder="1" applyAlignment="1">
      <alignment horizontal="center"/>
    </xf>
    <xf numFmtId="185" fontId="14" fillId="0" borderId="10" xfId="1" applyNumberFormat="1" applyFont="1" applyBorder="1" applyAlignment="1">
      <alignment horizontal="center"/>
    </xf>
    <xf numFmtId="9" fontId="14" fillId="0" borderId="13" xfId="3" applyFont="1" applyBorder="1"/>
    <xf numFmtId="182" fontId="14" fillId="0" borderId="13" xfId="3" applyNumberFormat="1" applyFont="1" applyBorder="1"/>
    <xf numFmtId="0" fontId="14" fillId="0" borderId="9" xfId="0" applyFont="1" applyBorder="1"/>
    <xf numFmtId="0" fontId="14" fillId="0" borderId="10" xfId="0" applyFont="1" applyBorder="1"/>
    <xf numFmtId="9" fontId="14" fillId="0" borderId="9" xfId="3" applyFont="1" applyBorder="1"/>
    <xf numFmtId="17" fontId="2" fillId="0" borderId="2" xfId="0" applyNumberFormat="1" applyFont="1" applyBorder="1"/>
    <xf numFmtId="0" fontId="2" fillId="0" borderId="3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/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7" fontId="7" fillId="0" borderId="0" xfId="0" applyNumberFormat="1" applyFont="1" applyBorder="1" applyAlignment="1">
      <alignment horizontal="center"/>
    </xf>
    <xf numFmtId="0" fontId="5" fillId="0" borderId="1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85" fontId="1" fillId="0" borderId="19" xfId="0" applyNumberFormat="1" applyFont="1" applyBorder="1"/>
    <xf numFmtId="0" fontId="1" fillId="0" borderId="18" xfId="0" applyFont="1" applyBorder="1"/>
    <xf numFmtId="0" fontId="2" fillId="0" borderId="22" xfId="0" applyFont="1" applyBorder="1"/>
    <xf numFmtId="0" fontId="2" fillId="0" borderId="23" xfId="0" applyFont="1" applyBorder="1"/>
    <xf numFmtId="185" fontId="1" fillId="0" borderId="23" xfId="0" applyNumberFormat="1" applyFont="1" applyBorder="1"/>
    <xf numFmtId="185" fontId="1" fillId="0" borderId="23" xfId="0" applyNumberFormat="1" applyFont="1" applyFill="1" applyBorder="1"/>
    <xf numFmtId="185" fontId="1" fillId="0" borderId="30" xfId="0" applyNumberFormat="1" applyFont="1" applyBorder="1"/>
    <xf numFmtId="185" fontId="1" fillId="0" borderId="19" xfId="0" applyNumberFormat="1" applyFont="1" applyFill="1" applyBorder="1"/>
    <xf numFmtId="185" fontId="1" fillId="0" borderId="9" xfId="1" applyNumberFormat="1" applyFill="1" applyBorder="1"/>
    <xf numFmtId="0" fontId="0" fillId="0" borderId="31" xfId="0" applyBorder="1"/>
    <xf numFmtId="0" fontId="35" fillId="0" borderId="0" xfId="0" applyFont="1"/>
    <xf numFmtId="0" fontId="35" fillId="0" borderId="8" xfId="0" applyFont="1" applyBorder="1"/>
    <xf numFmtId="0" fontId="36" fillId="0" borderId="26" xfId="0" applyFont="1" applyFill="1" applyBorder="1" applyAlignment="1">
      <alignment horizontal="center"/>
    </xf>
    <xf numFmtId="0" fontId="36" fillId="0" borderId="26" xfId="0" applyFont="1" applyFill="1" applyBorder="1"/>
    <xf numFmtId="0" fontId="35" fillId="0" borderId="14" xfId="0" applyFont="1" applyBorder="1"/>
    <xf numFmtId="185" fontId="35" fillId="0" borderId="11" xfId="0" applyNumberFormat="1" applyFont="1" applyBorder="1"/>
    <xf numFmtId="10" fontId="35" fillId="0" borderId="11" xfId="3" applyNumberFormat="1" applyFont="1" applyBorder="1"/>
    <xf numFmtId="37" fontId="35" fillId="0" borderId="11" xfId="3" applyNumberFormat="1" applyFont="1" applyBorder="1"/>
    <xf numFmtId="209" fontId="35" fillId="0" borderId="11" xfId="2" applyNumberFormat="1" applyFont="1" applyBorder="1"/>
    <xf numFmtId="0" fontId="35" fillId="0" borderId="11" xfId="0" applyFont="1" applyBorder="1"/>
    <xf numFmtId="10" fontId="35" fillId="0" borderId="11" xfId="0" applyNumberFormat="1" applyFont="1" applyBorder="1"/>
    <xf numFmtId="185" fontId="36" fillId="0" borderId="12" xfId="2" applyNumberFormat="1" applyFont="1" applyBorder="1"/>
    <xf numFmtId="10" fontId="36" fillId="0" borderId="12" xfId="3" applyNumberFormat="1" applyFont="1" applyBorder="1"/>
    <xf numFmtId="37" fontId="36" fillId="0" borderId="12" xfId="3" applyNumberFormat="1" applyFont="1" applyBorder="1"/>
    <xf numFmtId="209" fontId="36" fillId="0" borderId="12" xfId="2" applyNumberFormat="1" applyFont="1" applyBorder="1"/>
    <xf numFmtId="185" fontId="35" fillId="0" borderId="5" xfId="0" applyNumberFormat="1" applyFont="1" applyBorder="1"/>
    <xf numFmtId="209" fontId="35" fillId="0" borderId="5" xfId="2" applyNumberFormat="1" applyFont="1" applyBorder="1"/>
    <xf numFmtId="10" fontId="35" fillId="0" borderId="5" xfId="3" applyNumberFormat="1" applyFont="1" applyBorder="1"/>
    <xf numFmtId="185" fontId="37" fillId="0" borderId="5" xfId="2" applyNumberFormat="1" applyFont="1" applyBorder="1"/>
    <xf numFmtId="10" fontId="37" fillId="0" borderId="11" xfId="3" applyNumberFormat="1" applyFont="1" applyBorder="1"/>
    <xf numFmtId="10" fontId="37" fillId="0" borderId="5" xfId="3" applyNumberFormat="1" applyFont="1" applyBorder="1"/>
    <xf numFmtId="185" fontId="38" fillId="0" borderId="5" xfId="2" applyNumberFormat="1" applyFont="1" applyBorder="1"/>
    <xf numFmtId="10" fontId="38" fillId="0" borderId="11" xfId="3" applyNumberFormat="1" applyFont="1" applyBorder="1"/>
    <xf numFmtId="10" fontId="38" fillId="0" borderId="5" xfId="3" applyNumberFormat="1" applyFont="1" applyBorder="1"/>
    <xf numFmtId="0" fontId="36" fillId="0" borderId="12" xfId="0" applyFont="1" applyBorder="1"/>
    <xf numFmtId="10" fontId="36" fillId="0" borderId="12" xfId="0" applyNumberFormat="1" applyFont="1" applyBorder="1"/>
    <xf numFmtId="185" fontId="36" fillId="0" borderId="32" xfId="2" applyNumberFormat="1" applyFont="1" applyBorder="1"/>
    <xf numFmtId="10" fontId="36" fillId="0" borderId="32" xfId="3" applyNumberFormat="1" applyFont="1" applyBorder="1"/>
    <xf numFmtId="37" fontId="36" fillId="0" borderId="32" xfId="3" applyNumberFormat="1" applyFont="1" applyBorder="1"/>
    <xf numFmtId="182" fontId="2" fillId="0" borderId="13" xfId="3" applyNumberFormat="1" applyFont="1" applyBorder="1"/>
    <xf numFmtId="209" fontId="0" fillId="0" borderId="0" xfId="0" applyNumberFormat="1"/>
    <xf numFmtId="37" fontId="0" fillId="0" borderId="0" xfId="0" applyNumberFormat="1"/>
    <xf numFmtId="37" fontId="0" fillId="0" borderId="0" xfId="0" applyNumberFormat="1" applyFill="1"/>
    <xf numFmtId="38" fontId="4" fillId="0" borderId="5" xfId="0" applyNumberFormat="1" applyFont="1" applyBorder="1"/>
    <xf numFmtId="38" fontId="7" fillId="0" borderId="5" xfId="0" applyNumberFormat="1" applyFont="1" applyBorder="1" applyAlignment="1">
      <alignment horizontal="center"/>
    </xf>
    <xf numFmtId="38" fontId="14" fillId="0" borderId="0" xfId="0" applyNumberFormat="1" applyFont="1" applyBorder="1" applyAlignment="1">
      <alignment horizontal="center"/>
    </xf>
    <xf numFmtId="38" fontId="14" fillId="0" borderId="5" xfId="0" applyNumberFormat="1" applyFont="1" applyBorder="1" applyAlignment="1">
      <alignment horizontal="center"/>
    </xf>
    <xf numFmtId="38" fontId="1" fillId="0" borderId="5" xfId="1" applyNumberFormat="1" applyBorder="1"/>
    <xf numFmtId="38" fontId="14" fillId="0" borderId="10" xfId="1" applyNumberFormat="1" applyFont="1" applyBorder="1"/>
    <xf numFmtId="38" fontId="14" fillId="0" borderId="13" xfId="1" applyNumberFormat="1" applyFont="1" applyBorder="1"/>
    <xf numFmtId="38" fontId="14" fillId="0" borderId="0" xfId="1" applyNumberFormat="1" applyFont="1" applyBorder="1"/>
    <xf numFmtId="38" fontId="14" fillId="0" borderId="5" xfId="1" applyNumberFormat="1" applyFont="1" applyBorder="1"/>
    <xf numFmtId="38" fontId="1" fillId="0" borderId="0" xfId="1" applyNumberFormat="1"/>
    <xf numFmtId="38" fontId="0" fillId="0" borderId="5" xfId="0" applyNumberFormat="1" applyBorder="1"/>
    <xf numFmtId="38" fontId="14" fillId="0" borderId="10" xfId="0" applyNumberFormat="1" applyFont="1" applyBorder="1"/>
    <xf numFmtId="38" fontId="14" fillId="0" borderId="13" xfId="0" applyNumberFormat="1" applyFont="1" applyBorder="1"/>
    <xf numFmtId="38" fontId="0" fillId="0" borderId="4" xfId="0" applyNumberFormat="1" applyBorder="1"/>
    <xf numFmtId="38" fontId="14" fillId="0" borderId="9" xfId="1" applyNumberFormat="1" applyFont="1" applyBorder="1" applyAlignment="1">
      <alignment horizontal="center"/>
    </xf>
    <xf numFmtId="38" fontId="1" fillId="0" borderId="4" xfId="1" applyNumberFormat="1" applyBorder="1"/>
    <xf numFmtId="38" fontId="14" fillId="0" borderId="9" xfId="1" applyNumberFormat="1" applyFont="1" applyBorder="1"/>
    <xf numFmtId="38" fontId="1" fillId="0" borderId="4" xfId="3" applyNumberFormat="1" applyBorder="1"/>
    <xf numFmtId="182" fontId="14" fillId="0" borderId="12" xfId="1" applyNumberFormat="1" applyFont="1" applyBorder="1"/>
    <xf numFmtId="0" fontId="2" fillId="0" borderId="2" xfId="0" applyFont="1" applyBorder="1" applyAlignment="1">
      <alignment horizontal="center"/>
    </xf>
    <xf numFmtId="0" fontId="0" fillId="0" borderId="2" xfId="0" applyFill="1" applyBorder="1"/>
    <xf numFmtId="38" fontId="0" fillId="0" borderId="4" xfId="0" applyNumberFormat="1" applyFill="1" applyBorder="1"/>
    <xf numFmtId="38" fontId="1" fillId="0" borderId="4" xfId="1" applyNumberFormat="1" applyFill="1" applyBorder="1"/>
    <xf numFmtId="38" fontId="14" fillId="0" borderId="9" xfId="1" applyNumberFormat="1" applyFont="1" applyFill="1" applyBorder="1"/>
    <xf numFmtId="38" fontId="1" fillId="0" borderId="4" xfId="3" applyNumberFormat="1" applyFill="1" applyBorder="1"/>
    <xf numFmtId="0" fontId="2" fillId="0" borderId="1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11" xfId="0" applyFill="1" applyBorder="1"/>
    <xf numFmtId="185" fontId="0" fillId="0" borderId="11" xfId="0" applyNumberFormat="1" applyFill="1" applyBorder="1"/>
    <xf numFmtId="185" fontId="2" fillId="0" borderId="11" xfId="0" applyNumberFormat="1" applyFont="1" applyFill="1" applyBorder="1"/>
    <xf numFmtId="185" fontId="2" fillId="0" borderId="7" xfId="0" applyNumberFormat="1" applyFont="1" applyFill="1" applyBorder="1"/>
    <xf numFmtId="9" fontId="1" fillId="0" borderId="0" xfId="3" applyBorder="1"/>
    <xf numFmtId="182" fontId="1" fillId="0" borderId="0" xfId="3" applyNumberFormat="1" applyBorder="1"/>
    <xf numFmtId="0" fontId="3" fillId="0" borderId="5" xfId="0" applyFont="1" applyFill="1" applyBorder="1" applyAlignment="1">
      <alignment horizontal="center"/>
    </xf>
    <xf numFmtId="0" fontId="41" fillId="0" borderId="4" xfId="0" applyFont="1" applyFill="1" applyBorder="1" applyAlignment="1">
      <alignment horizontal="center"/>
    </xf>
    <xf numFmtId="38" fontId="4" fillId="0" borderId="4" xfId="0" applyNumberFormat="1" applyFont="1" applyBorder="1"/>
    <xf numFmtId="182" fontId="0" fillId="0" borderId="5" xfId="3" applyNumberFormat="1" applyFont="1" applyBorder="1"/>
    <xf numFmtId="38" fontId="4" fillId="0" borderId="9" xfId="0" applyNumberFormat="1" applyFont="1" applyBorder="1"/>
    <xf numFmtId="182" fontId="0" fillId="0" borderId="13" xfId="3" applyNumberFormat="1" applyFont="1" applyBorder="1"/>
    <xf numFmtId="41" fontId="0" fillId="0" borderId="0" xfId="1" applyNumberFormat="1" applyFont="1"/>
    <xf numFmtId="4" fontId="42" fillId="2" borderId="0" xfId="0" applyNumberFormat="1" applyFont="1" applyFill="1" applyBorder="1"/>
    <xf numFmtId="4" fontId="0" fillId="2" borderId="0" xfId="0" applyNumberFormat="1" applyFill="1" applyBorder="1"/>
    <xf numFmtId="4" fontId="42" fillId="2" borderId="0" xfId="0" applyNumberFormat="1" applyFont="1" applyFill="1" applyBorder="1" applyAlignment="1">
      <alignment horizontal="justify"/>
    </xf>
    <xf numFmtId="4" fontId="42" fillId="0" borderId="0" xfId="0" applyNumberFormat="1" applyFont="1"/>
    <xf numFmtId="4" fontId="42" fillId="0" borderId="33" xfId="0" applyNumberFormat="1" applyFont="1" applyBorder="1"/>
    <xf numFmtId="4" fontId="42" fillId="0" borderId="0" xfId="0" applyNumberFormat="1" applyFont="1" applyBorder="1"/>
    <xf numFmtId="4" fontId="14" fillId="2" borderId="33" xfId="0" applyNumberFormat="1" applyFont="1" applyFill="1" applyBorder="1" applyAlignment="1">
      <alignment horizontal="center"/>
    </xf>
    <xf numFmtId="4" fontId="14" fillId="2" borderId="34" xfId="0" applyNumberFormat="1" applyFont="1" applyFill="1" applyBorder="1" applyAlignment="1">
      <alignment horizontal="center"/>
    </xf>
    <xf numFmtId="4" fontId="14" fillId="0" borderId="0" xfId="0" applyNumberFormat="1" applyFont="1" applyAlignment="1">
      <alignment horizontal="center"/>
    </xf>
    <xf numFmtId="4" fontId="42" fillId="0" borderId="33" xfId="0" applyNumberFormat="1" applyFont="1" applyBorder="1" applyAlignment="1">
      <alignment vertical="top" wrapText="1"/>
    </xf>
    <xf numFmtId="4" fontId="50" fillId="2" borderId="34" xfId="0" applyNumberFormat="1" applyFont="1" applyFill="1" applyBorder="1" applyAlignment="1">
      <alignment vertical="top"/>
    </xf>
    <xf numFmtId="4" fontId="50" fillId="2" borderId="0" xfId="0" applyNumberFormat="1" applyFont="1" applyFill="1" applyBorder="1" applyAlignment="1">
      <alignment vertical="top"/>
    </xf>
    <xf numFmtId="4" fontId="50" fillId="2" borderId="33" xfId="0" applyNumberFormat="1" applyFont="1" applyFill="1" applyBorder="1" applyAlignment="1">
      <alignment vertical="top" wrapText="1"/>
    </xf>
    <xf numFmtId="4" fontId="50" fillId="0" borderId="34" xfId="0" applyNumberFormat="1" applyFont="1" applyBorder="1" applyAlignment="1">
      <alignment vertical="top" wrapText="1"/>
    </xf>
    <xf numFmtId="4" fontId="50" fillId="0" borderId="0" xfId="0" applyNumberFormat="1" applyFont="1" applyAlignment="1">
      <alignment vertical="top" wrapText="1"/>
    </xf>
    <xf numFmtId="4" fontId="42" fillId="0" borderId="0" xfId="0" applyNumberFormat="1" applyFont="1" applyAlignment="1">
      <alignment vertical="top" wrapText="1"/>
    </xf>
    <xf numFmtId="4" fontId="42" fillId="0" borderId="34" xfId="0" applyNumberFormat="1" applyFont="1" applyBorder="1"/>
    <xf numFmtId="4" fontId="51" fillId="3" borderId="35" xfId="0" applyNumberFormat="1" applyFont="1" applyFill="1" applyBorder="1"/>
    <xf numFmtId="4" fontId="51" fillId="3" borderId="29" xfId="0" applyNumberFormat="1" applyFont="1" applyFill="1" applyBorder="1"/>
    <xf numFmtId="4" fontId="51" fillId="3" borderId="36" xfId="0" applyNumberFormat="1" applyFont="1" applyFill="1" applyBorder="1" applyAlignment="1">
      <alignment horizontal="justify"/>
    </xf>
    <xf numFmtId="4" fontId="42" fillId="0" borderId="0" xfId="0" applyNumberFormat="1" applyFont="1" applyAlignment="1">
      <alignment horizontal="justify"/>
    </xf>
    <xf numFmtId="4" fontId="0" fillId="0" borderId="0" xfId="0" applyNumberFormat="1"/>
    <xf numFmtId="185" fontId="4" fillId="0" borderId="4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85" fontId="4" fillId="0" borderId="5" xfId="1" applyNumberFormat="1" applyFont="1" applyBorder="1"/>
    <xf numFmtId="0" fontId="52" fillId="0" borderId="5" xfId="0" applyFont="1" applyBorder="1"/>
    <xf numFmtId="185" fontId="4" fillId="0" borderId="5" xfId="0" applyNumberFormat="1" applyFont="1" applyBorder="1"/>
    <xf numFmtId="185" fontId="0" fillId="0" borderId="0" xfId="3" applyNumberFormat="1" applyFont="1"/>
    <xf numFmtId="0" fontId="53" fillId="0" borderId="18" xfId="0" applyFont="1" applyBorder="1"/>
    <xf numFmtId="0" fontId="54" fillId="0" borderId="14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3" xfId="0" applyFont="1" applyBorder="1" applyAlignment="1">
      <alignment horizontal="center"/>
    </xf>
    <xf numFmtId="0" fontId="55" fillId="0" borderId="0" xfId="0" applyFont="1"/>
    <xf numFmtId="0" fontId="54" fillId="0" borderId="26" xfId="0" applyFont="1" applyBorder="1"/>
    <xf numFmtId="0" fontId="54" fillId="0" borderId="7" xfId="0" applyFont="1" applyBorder="1"/>
    <xf numFmtId="0" fontId="54" fillId="0" borderId="7" xfId="0" applyFont="1" applyBorder="1" applyAlignment="1">
      <alignment horizontal="center"/>
    </xf>
    <xf numFmtId="0" fontId="54" fillId="0" borderId="11" xfId="0" applyFont="1" applyBorder="1"/>
    <xf numFmtId="0" fontId="54" fillId="0" borderId="5" xfId="0" applyFont="1" applyBorder="1"/>
    <xf numFmtId="0" fontId="56" fillId="0" borderId="11" xfId="0" applyFont="1" applyBorder="1" applyAlignment="1">
      <alignment horizontal="center"/>
    </xf>
    <xf numFmtId="0" fontId="56" fillId="0" borderId="5" xfId="0" applyFont="1" applyBorder="1"/>
    <xf numFmtId="14" fontId="56" fillId="0" borderId="5" xfId="0" applyNumberFormat="1" applyFont="1" applyBorder="1"/>
    <xf numFmtId="0" fontId="56" fillId="0" borderId="11" xfId="0" applyFont="1" applyBorder="1" applyAlignment="1">
      <alignment horizontal="centerContinuous"/>
    </xf>
    <xf numFmtId="0" fontId="56" fillId="0" borderId="27" xfId="0" applyFont="1" applyBorder="1" applyAlignment="1">
      <alignment horizontal="centerContinuous"/>
    </xf>
    <xf numFmtId="0" fontId="56" fillId="0" borderId="27" xfId="0" applyFont="1" applyBorder="1"/>
    <xf numFmtId="0" fontId="55" fillId="0" borderId="37" xfId="0" applyFont="1" applyBorder="1"/>
    <xf numFmtId="0" fontId="55" fillId="0" borderId="28" xfId="0" applyFont="1" applyBorder="1"/>
    <xf numFmtId="0" fontId="55" fillId="0" borderId="11" xfId="0" applyFont="1" applyBorder="1"/>
    <xf numFmtId="0" fontId="55" fillId="0" borderId="0" xfId="0" applyFont="1" applyBorder="1"/>
    <xf numFmtId="0" fontId="55" fillId="0" borderId="5" xfId="0" applyFont="1" applyBorder="1"/>
    <xf numFmtId="0" fontId="57" fillId="0" borderId="0" xfId="0" applyFont="1" applyBorder="1" applyAlignment="1">
      <alignment horizontal="left"/>
    </xf>
    <xf numFmtId="0" fontId="57" fillId="0" borderId="0" xfId="0" applyFont="1" applyAlignment="1">
      <alignment horizontal="left"/>
    </xf>
    <xf numFmtId="185" fontId="55" fillId="0" borderId="0" xfId="0" applyNumberFormat="1" applyFont="1" applyBorder="1"/>
    <xf numFmtId="0" fontId="58" fillId="0" borderId="18" xfId="0" applyFont="1" applyBorder="1"/>
    <xf numFmtId="0" fontId="58" fillId="0" borderId="0" xfId="0" applyFont="1" applyBorder="1"/>
    <xf numFmtId="0" fontId="55" fillId="0" borderId="19" xfId="0" applyFont="1" applyBorder="1"/>
    <xf numFmtId="0" fontId="59" fillId="0" borderId="18" xfId="0" applyFont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9" fillId="0" borderId="19" xfId="0" applyFont="1" applyBorder="1" applyAlignment="1">
      <alignment horizontal="center"/>
    </xf>
    <xf numFmtId="17" fontId="59" fillId="0" borderId="0" xfId="0" applyNumberFormat="1" applyFont="1" applyBorder="1" applyAlignment="1">
      <alignment horizontal="center"/>
    </xf>
    <xf numFmtId="185" fontId="4" fillId="0" borderId="0" xfId="1" applyNumberFormat="1" applyFont="1" applyFill="1" applyBorder="1"/>
    <xf numFmtId="9" fontId="4" fillId="0" borderId="11" xfId="3" applyFont="1" applyBorder="1"/>
    <xf numFmtId="0" fontId="15" fillId="0" borderId="5" xfId="0" applyFont="1" applyBorder="1" applyAlignment="1">
      <alignment horizontal="centerContinuous"/>
    </xf>
    <xf numFmtId="185" fontId="1" fillId="0" borderId="0" xfId="1" applyNumberFormat="1" applyFont="1" applyBorder="1"/>
    <xf numFmtId="0" fontId="15" fillId="0" borderId="0" xfId="0" applyFont="1" applyBorder="1" applyAlignment="1">
      <alignment horizontal="centerContinuous"/>
    </xf>
    <xf numFmtId="185" fontId="0" fillId="0" borderId="0" xfId="0" applyNumberFormat="1" applyBorder="1"/>
    <xf numFmtId="9" fontId="0" fillId="0" borderId="38" xfId="3" applyFont="1" applyBorder="1"/>
    <xf numFmtId="38" fontId="0" fillId="0" borderId="38" xfId="0" applyNumberFormat="1" applyBorder="1"/>
    <xf numFmtId="38" fontId="0" fillId="0" borderId="39" xfId="0" applyNumberFormat="1" applyBorder="1"/>
    <xf numFmtId="38" fontId="0" fillId="0" borderId="40" xfId="0" applyNumberFormat="1" applyBorder="1"/>
    <xf numFmtId="0" fontId="2" fillId="0" borderId="41" xfId="0" applyFont="1" applyBorder="1"/>
    <xf numFmtId="185" fontId="1" fillId="0" borderId="0" xfId="1" applyNumberFormat="1" applyFont="1"/>
    <xf numFmtId="9" fontId="1" fillId="0" borderId="0" xfId="3" applyBorder="1" applyAlignment="1">
      <alignment horizontal="center"/>
    </xf>
    <xf numFmtId="9" fontId="14" fillId="0" borderId="10" xfId="3" applyFont="1" applyBorder="1" applyAlignment="1">
      <alignment horizontal="center"/>
    </xf>
    <xf numFmtId="1" fontId="1" fillId="0" borderId="0" xfId="3" applyNumberFormat="1" applyBorder="1" applyAlignment="1">
      <alignment horizontal="center"/>
    </xf>
    <xf numFmtId="43" fontId="1" fillId="0" borderId="0" xfId="1" applyFont="1"/>
    <xf numFmtId="0" fontId="42" fillId="0" borderId="0" xfId="0" applyFont="1" applyAlignment="1">
      <alignment horizontal="center"/>
    </xf>
    <xf numFmtId="185" fontId="60" fillId="0" borderId="5" xfId="1" applyNumberFormat="1" applyFont="1" applyBorder="1"/>
    <xf numFmtId="0" fontId="42" fillId="0" borderId="5" xfId="0" applyFont="1" applyBorder="1"/>
    <xf numFmtId="38" fontId="0" fillId="0" borderId="5" xfId="0" applyNumberFormat="1" applyFill="1" applyBorder="1"/>
    <xf numFmtId="38" fontId="1" fillId="0" borderId="11" xfId="1" applyNumberFormat="1" applyFill="1" applyBorder="1"/>
    <xf numFmtId="182" fontId="1" fillId="0" borderId="11" xfId="3" applyNumberFormat="1" applyBorder="1"/>
    <xf numFmtId="38" fontId="0" fillId="0" borderId="0" xfId="0" applyNumberFormat="1" applyFill="1" applyBorder="1"/>
    <xf numFmtId="1" fontId="1" fillId="0" borderId="14" xfId="3" applyNumberFormat="1" applyBorder="1"/>
    <xf numFmtId="1" fontId="1" fillId="0" borderId="11" xfId="3" applyNumberFormat="1" applyBorder="1"/>
    <xf numFmtId="9" fontId="1" fillId="0" borderId="26" xfId="3" applyBorder="1"/>
    <xf numFmtId="38" fontId="14" fillId="0" borderId="12" xfId="1" applyNumberFormat="1" applyFont="1" applyFill="1" applyBorder="1" applyAlignment="1">
      <alignment horizontal="center"/>
    </xf>
    <xf numFmtId="9" fontId="1" fillId="0" borderId="14" xfId="3" applyBorder="1"/>
    <xf numFmtId="9" fontId="14" fillId="0" borderId="12" xfId="3" applyFont="1" applyBorder="1"/>
    <xf numFmtId="9" fontId="1" fillId="0" borderId="14" xfId="3" applyBorder="1" applyAlignment="1">
      <alignment horizontal="center"/>
    </xf>
    <xf numFmtId="9" fontId="1" fillId="0" borderId="11" xfId="3" applyBorder="1" applyAlignment="1">
      <alignment horizontal="center"/>
    </xf>
    <xf numFmtId="38" fontId="0" fillId="0" borderId="11" xfId="0" applyNumberFormat="1" applyFill="1" applyBorder="1"/>
    <xf numFmtId="2" fontId="0" fillId="0" borderId="0" xfId="0" applyNumberFormat="1"/>
    <xf numFmtId="3" fontId="0" fillId="0" borderId="0" xfId="0" applyNumberFormat="1"/>
    <xf numFmtId="43" fontId="43" fillId="4" borderId="42" xfId="1" applyFont="1" applyFill="1" applyBorder="1" applyAlignment="1">
      <alignment horizontal="centerContinuous"/>
    </xf>
    <xf numFmtId="43" fontId="44" fillId="4" borderId="43" xfId="1" applyFont="1" applyFill="1" applyBorder="1" applyAlignment="1">
      <alignment horizontal="centerContinuous"/>
    </xf>
    <xf numFmtId="43" fontId="45" fillId="4" borderId="0" xfId="1" applyFont="1" applyFill="1" applyAlignment="1">
      <alignment horizontal="centerContinuous"/>
    </xf>
    <xf numFmtId="43" fontId="46" fillId="4" borderId="33" xfId="1" applyFont="1" applyFill="1" applyBorder="1" applyAlignment="1">
      <alignment horizontal="centerContinuous"/>
    </xf>
    <xf numFmtId="43" fontId="47" fillId="4" borderId="0" xfId="1" applyFont="1" applyFill="1" applyAlignment="1">
      <alignment horizontal="centerContinuous"/>
    </xf>
    <xf numFmtId="43" fontId="0" fillId="4" borderId="33" xfId="1" applyFont="1" applyFill="1" applyBorder="1" applyAlignment="1">
      <alignment horizontal="centerContinuous"/>
    </xf>
    <xf numFmtId="43" fontId="48" fillId="4" borderId="0" xfId="1" applyFont="1" applyFill="1" applyAlignment="1">
      <alignment horizontal="centerContinuous"/>
    </xf>
    <xf numFmtId="43" fontId="42" fillId="4" borderId="33" xfId="1" applyFont="1" applyFill="1" applyBorder="1" applyAlignment="1">
      <alignment horizontal="centerContinuous"/>
    </xf>
    <xf numFmtId="43" fontId="42" fillId="4" borderId="0" xfId="1" applyFont="1" applyFill="1"/>
    <xf numFmtId="43" fontId="42" fillId="4" borderId="33" xfId="1" applyFont="1" applyFill="1" applyBorder="1" applyAlignment="1">
      <alignment horizontal="justify"/>
    </xf>
    <xf numFmtId="43" fontId="49" fillId="3" borderId="34" xfId="1" applyFont="1" applyFill="1" applyBorder="1" applyAlignment="1">
      <alignment horizontal="center"/>
    </xf>
    <xf numFmtId="43" fontId="49" fillId="3" borderId="0" xfId="1" applyFont="1" applyFill="1" applyBorder="1" applyAlignment="1">
      <alignment horizontal="center"/>
    </xf>
    <xf numFmtId="43" fontId="49" fillId="3" borderId="33" xfId="1" applyFont="1" applyFill="1" applyBorder="1" applyAlignment="1">
      <alignment horizontal="justify"/>
    </xf>
    <xf numFmtId="43" fontId="50" fillId="2" borderId="34" xfId="1" applyFont="1" applyFill="1" applyBorder="1" applyAlignment="1">
      <alignment vertical="top"/>
    </xf>
    <xf numFmtId="43" fontId="50" fillId="2" borderId="0" xfId="1" applyFont="1" applyFill="1" applyBorder="1" applyAlignment="1">
      <alignment vertical="top"/>
    </xf>
    <xf numFmtId="43" fontId="50" fillId="2" borderId="33" xfId="1" applyFont="1" applyFill="1" applyBorder="1" applyAlignment="1">
      <alignment vertical="top" wrapText="1"/>
    </xf>
    <xf numFmtId="49" fontId="51" fillId="3" borderId="35" xfId="0" applyNumberFormat="1" applyFont="1" applyFill="1" applyBorder="1"/>
    <xf numFmtId="49" fontId="51" fillId="3" borderId="29" xfId="0" applyNumberFormat="1" applyFont="1" applyFill="1" applyBorder="1"/>
    <xf numFmtId="0" fontId="51" fillId="3" borderId="36" xfId="0" applyNumberFormat="1" applyFont="1" applyFill="1" applyBorder="1" applyAlignment="1">
      <alignment horizontal="justify"/>
    </xf>
    <xf numFmtId="10" fontId="0" fillId="0" borderId="0" xfId="0" applyNumberFormat="1"/>
    <xf numFmtId="2" fontId="2" fillId="0" borderId="0" xfId="0" applyNumberFormat="1" applyFont="1"/>
    <xf numFmtId="0" fontId="3" fillId="0" borderId="1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0" fillId="0" borderId="0" xfId="0" applyFont="1" applyFill="1" applyBorder="1"/>
    <xf numFmtId="10" fontId="0" fillId="0" borderId="10" xfId="0" applyNumberFormat="1" applyBorder="1"/>
    <xf numFmtId="17" fontId="0" fillId="0" borderId="12" xfId="0" applyNumberFormat="1" applyBorder="1"/>
    <xf numFmtId="38" fontId="2" fillId="0" borderId="0" xfId="1" applyNumberFormat="1" applyFont="1"/>
    <xf numFmtId="0" fontId="1" fillId="0" borderId="0" xfId="0" applyFont="1" applyFill="1"/>
    <xf numFmtId="0" fontId="1" fillId="0" borderId="17" xfId="0" applyFont="1" applyBorder="1"/>
    <xf numFmtId="0" fontId="17" fillId="0" borderId="19" xfId="0" applyFont="1" applyBorder="1"/>
    <xf numFmtId="185" fontId="17" fillId="0" borderId="19" xfId="0" applyNumberFormat="1" applyFont="1" applyBorder="1"/>
    <xf numFmtId="185" fontId="17" fillId="0" borderId="30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/>
    <xf numFmtId="14" fontId="4" fillId="0" borderId="11" xfId="0" applyNumberFormat="1" applyFont="1" applyBorder="1" applyAlignment="1">
      <alignment horizontal="center"/>
    </xf>
    <xf numFmtId="17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85" fontId="4" fillId="0" borderId="27" xfId="0" applyNumberFormat="1" applyFont="1" applyBorder="1"/>
    <xf numFmtId="0" fontId="16" fillId="0" borderId="12" xfId="0" applyFont="1" applyBorder="1" applyAlignment="1">
      <alignment horizontal="center"/>
    </xf>
    <xf numFmtId="185" fontId="15" fillId="0" borderId="11" xfId="1" applyNumberFormat="1" applyFont="1" applyBorder="1"/>
    <xf numFmtId="0" fontId="58" fillId="0" borderId="0" xfId="0" applyFont="1"/>
    <xf numFmtId="0" fontId="32" fillId="0" borderId="0" xfId="0" applyFont="1"/>
    <xf numFmtId="0" fontId="61" fillId="0" borderId="0" xfId="0" applyFont="1"/>
    <xf numFmtId="0" fontId="61" fillId="0" borderId="15" xfId="0" applyFont="1" applyBorder="1"/>
    <xf numFmtId="0" fontId="61" fillId="0" borderId="16" xfId="0" applyFont="1" applyBorder="1"/>
    <xf numFmtId="0" fontId="32" fillId="0" borderId="18" xfId="0" applyFont="1" applyBorder="1"/>
    <xf numFmtId="0" fontId="32" fillId="0" borderId="0" xfId="0" applyFont="1" applyBorder="1"/>
    <xf numFmtId="0" fontId="62" fillId="0" borderId="18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3" fillId="0" borderId="18" xfId="0" applyFont="1" applyBorder="1" applyAlignment="1">
      <alignment horizontal="left"/>
    </xf>
    <xf numFmtId="0" fontId="63" fillId="0" borderId="0" xfId="0" applyFont="1" applyBorder="1" applyAlignment="1">
      <alignment horizontal="left"/>
    </xf>
    <xf numFmtId="0" fontId="33" fillId="0" borderId="18" xfId="0" applyFont="1" applyBorder="1"/>
    <xf numFmtId="0" fontId="33" fillId="0" borderId="0" xfId="0" applyFont="1" applyBorder="1"/>
    <xf numFmtId="0" fontId="61" fillId="0" borderId="18" xfId="0" applyFont="1" applyBorder="1"/>
    <xf numFmtId="0" fontId="61" fillId="0" borderId="0" xfId="0" applyFont="1" applyBorder="1" applyAlignment="1">
      <alignment horizontal="right"/>
    </xf>
    <xf numFmtId="2" fontId="61" fillId="0" borderId="0" xfId="0" applyNumberFormat="1" applyFont="1" applyBorder="1" applyAlignment="1">
      <alignment horizontal="right"/>
    </xf>
    <xf numFmtId="43" fontId="61" fillId="0" borderId="0" xfId="0" applyNumberFormat="1" applyFont="1" applyBorder="1"/>
    <xf numFmtId="38" fontId="61" fillId="0" borderId="0" xfId="0" applyNumberFormat="1" applyFont="1" applyFill="1" applyBorder="1"/>
    <xf numFmtId="9" fontId="61" fillId="0" borderId="0" xfId="0" applyNumberFormat="1" applyFont="1" applyBorder="1" applyAlignment="1">
      <alignment horizontal="right"/>
    </xf>
    <xf numFmtId="185" fontId="61" fillId="0" borderId="0" xfId="0" applyNumberFormat="1" applyFont="1" applyBorder="1"/>
    <xf numFmtId="9" fontId="61" fillId="0" borderId="0" xfId="0" applyNumberFormat="1" applyFont="1" applyBorder="1"/>
    <xf numFmtId="2" fontId="61" fillId="0" borderId="0" xfId="0" applyNumberFormat="1" applyFont="1" applyBorder="1"/>
    <xf numFmtId="185" fontId="61" fillId="0" borderId="0" xfId="0" applyNumberFormat="1" applyFont="1" applyFill="1" applyBorder="1"/>
    <xf numFmtId="0" fontId="61" fillId="0" borderId="0" xfId="0" applyFont="1" applyBorder="1"/>
    <xf numFmtId="0" fontId="32" fillId="0" borderId="22" xfId="0" applyFont="1" applyBorder="1"/>
    <xf numFmtId="0" fontId="32" fillId="0" borderId="23" xfId="0" applyFont="1" applyBorder="1"/>
    <xf numFmtId="2" fontId="32" fillId="0" borderId="23" xfId="0" applyNumberFormat="1" applyFont="1" applyBorder="1"/>
    <xf numFmtId="185" fontId="61" fillId="0" borderId="23" xfId="0" applyNumberFormat="1" applyFont="1" applyBorder="1"/>
    <xf numFmtId="185" fontId="61" fillId="0" borderId="23" xfId="0" applyNumberFormat="1" applyFont="1" applyFill="1" applyBorder="1"/>
    <xf numFmtId="0" fontId="7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5" fillId="0" borderId="0" xfId="0" applyFont="1" applyAlignment="1">
      <alignment horizontal="left"/>
    </xf>
    <xf numFmtId="17" fontId="7" fillId="0" borderId="1" xfId="0" applyNumberFormat="1" applyFont="1" applyBorder="1" applyAlignment="1">
      <alignment horizontal="center"/>
    </xf>
    <xf numFmtId="17" fontId="7" fillId="0" borderId="2" xfId="0" applyNumberFormat="1" applyFont="1" applyBorder="1" applyAlignment="1">
      <alignment horizontal="center"/>
    </xf>
    <xf numFmtId="17" fontId="7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1" fillId="0" borderId="0" xfId="0" applyFont="1" applyFill="1" applyAlignment="1">
      <alignment horizontal="right"/>
    </xf>
  </cellXfs>
  <cellStyles count="4">
    <cellStyle name="Comma" xfId="1" builtinId="3"/>
    <cellStyle name="Comma_ET Accounts 032000" xfId="2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hartsheet" Target="chartsheets/sheet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1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Key Indicator Trends</a:t>
            </a:r>
          </a:p>
        </c:rich>
      </c:tx>
      <c:layout>
        <c:manualLayout>
          <c:xMode val="edge"/>
          <c:yMode val="edge"/>
          <c:x val="0.41156069364161851"/>
          <c:y val="1.957585644371941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3641618497109821E-2"/>
          <c:y val="3.4257748776508973E-2"/>
          <c:w val="0.66242774566473983"/>
          <c:h val="0.78629690048939638"/>
        </c:manualLayout>
      </c:layout>
      <c:lineChart>
        <c:grouping val="standard"/>
        <c:ser>
          <c:idx val="0"/>
          <c:order val="0"/>
          <c:tx>
            <c:strRef>
              <c:f>Sheet1!$L$3</c:f>
              <c:strCache>
                <c:ptCount val="1"/>
                <c:pt idx="0">
                  <c:v>Sales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Sheet1!$K$4:$K$8</c:f>
              <c:numCache>
                <c:formatCode>General</c:formatCode>
                <c:ptCount val="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</c:numCache>
            </c:numRef>
          </c:cat>
          <c:val>
            <c:numRef>
              <c:f>Sheet1!$L$4:$L$8</c:f>
              <c:numCache>
                <c:formatCode>_-* #,##0_-;\-* #,##0_-;_-* "-"??_-;_-@_-</c:formatCode>
                <c:ptCount val="5"/>
                <c:pt idx="0" formatCode="_(* #,##0_);_(* \(#,##0\);_(* &quot;-&quot;??_);_(@_)">
                  <c:v>527194</c:v>
                </c:pt>
                <c:pt idx="1">
                  <c:v>1328218</c:v>
                </c:pt>
                <c:pt idx="2" formatCode="#,##0_);\(#,##0\)">
                  <c:v>2322500</c:v>
                </c:pt>
                <c:pt idx="3" formatCode="_(* #,##0_);_(* \(#,##0\);_(* &quot;-&quot;??_);_(@_)">
                  <c:v>3388445</c:v>
                </c:pt>
                <c:pt idx="4" formatCode="_(* #,##0_);_(* \(#,##0\);_(* &quot;-&quot;??_);_(@_)">
                  <c:v>1</c:v>
                </c:pt>
              </c:numCache>
            </c:numRef>
          </c:val>
        </c:ser>
        <c:ser>
          <c:idx val="1"/>
          <c:order val="1"/>
          <c:tx>
            <c:strRef>
              <c:f>Sheet1!$M$3</c:f>
              <c:strCache>
                <c:ptCount val="1"/>
                <c:pt idx="0">
                  <c:v>Cash Operating Profit / (Loss)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Sheet1!$K$4:$K$8</c:f>
              <c:numCache>
                <c:formatCode>General</c:formatCode>
                <c:ptCount val="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</c:numCache>
            </c:numRef>
          </c:cat>
          <c:val>
            <c:numRef>
              <c:f>Sheet1!$M$4:$M$8</c:f>
              <c:numCache>
                <c:formatCode>_(* #,##0_);_(* \(#,##0\);_(* "-"??_);_(@_)</c:formatCode>
                <c:ptCount val="5"/>
                <c:pt idx="0">
                  <c:v>-963339.96</c:v>
                </c:pt>
                <c:pt idx="1">
                  <c:v>-567949.69999999995</c:v>
                </c:pt>
                <c:pt idx="2" formatCode="#,##0_);\(#,##0\)">
                  <c:v>-46678</c:v>
                </c:pt>
                <c:pt idx="3">
                  <c:v>-142732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Sheet1!$N$3</c:f>
              <c:strCache>
                <c:ptCount val="1"/>
                <c:pt idx="0">
                  <c:v>Net Profit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Sheet1!$K$4:$K$8</c:f>
              <c:numCache>
                <c:formatCode>General</c:formatCode>
                <c:ptCount val="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</c:numCache>
            </c:numRef>
          </c:cat>
          <c:val>
            <c:numRef>
              <c:f>Sheet1!$N$4:$N$8</c:f>
              <c:numCache>
                <c:formatCode>_(* #,##0_);_(* \(#,##0\);_(* "-"??_);_(@_)</c:formatCode>
                <c:ptCount val="5"/>
                <c:pt idx="0">
                  <c:v>-1274940.33</c:v>
                </c:pt>
                <c:pt idx="1">
                  <c:v>-1089739.7</c:v>
                </c:pt>
                <c:pt idx="2" formatCode="#,##0_);\(#,##0\)">
                  <c:v>-649952</c:v>
                </c:pt>
                <c:pt idx="3">
                  <c:v>-755024</c:v>
                </c:pt>
                <c:pt idx="4">
                  <c:v>0</c:v>
                </c:pt>
              </c:numCache>
            </c:numRef>
          </c:val>
        </c:ser>
        <c:marker val="1"/>
        <c:axId val="65477632"/>
        <c:axId val="65488384"/>
      </c:lineChart>
      <c:catAx>
        <c:axId val="654776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Year</a:t>
                </a:r>
              </a:p>
            </c:rich>
          </c:tx>
          <c:layout>
            <c:manualLayout>
              <c:xMode val="edge"/>
              <c:yMode val="edge"/>
              <c:x val="0.40578034682080927"/>
              <c:y val="0.8384991843393148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488384"/>
        <c:crosses val="autoZero"/>
        <c:auto val="1"/>
        <c:lblAlgn val="ctr"/>
        <c:lblOffset val="100"/>
        <c:tickLblSkip val="1"/>
        <c:tickMarkSkip val="1"/>
      </c:catAx>
      <c:valAx>
        <c:axId val="654883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Values</a:t>
                </a:r>
              </a:p>
            </c:rich>
          </c:tx>
          <c:layout>
            <c:manualLayout>
              <c:xMode val="edge"/>
              <c:yMode val="edge"/>
              <c:x val="0"/>
              <c:y val="0.38988580750407831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477632"/>
        <c:crosses val="autoZero"/>
        <c:crossBetween val="between"/>
      </c:valAx>
      <c:spPr>
        <a:solidFill>
          <a:srgbClr val="C0C0C0"/>
        </a:solidFill>
        <a:ln w="12700">
          <a:solidFill>
            <a:srgbClr val="0033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375722543352597"/>
          <c:y val="0.46982055464926592"/>
          <c:w val="0.24393063583815028"/>
          <c:h val="0.1044045676998368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7"/>
  <sheetViews>
    <sheetView zoomScale="68" workbookViewId="0"/>
  </sheetViews>
  <pageMargins left="1.1200000000000001" right="0.75" top="1" bottom="1" header="0.5" footer="0.5"/>
  <pageSetup orientation="landscape" r:id="rId1"/>
  <headerFooter alignWithMargins="0">
    <oddHeader xml:space="preserve">&amp;C&amp;"Arial,Bold"EXECUTRAIN - DUBAI
Budget for Jan 2001 to Dec 2001&amp;"Arial,Regular"
</oddHead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1</xdr:col>
      <xdr:colOff>571500</xdr:colOff>
      <xdr:row>0</xdr:row>
      <xdr:rowOff>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542925" y="0"/>
          <a:ext cx="638175" cy="0"/>
          <a:chOff x="95" y="19"/>
          <a:chExt cx="124" cy="101"/>
        </a:xfrm>
      </xdr:grpSpPr>
      <xdr:sp macro="" textlink="">
        <xdr:nvSpPr>
          <xdr:cNvPr id="1026" name="AutoShape 2"/>
          <xdr:cNvSpPr>
            <a:spLocks noChangeArrowheads="1"/>
          </xdr:cNvSpPr>
        </xdr:nvSpPr>
        <xdr:spPr bwMode="auto">
          <a:xfrm flipH="1">
            <a:off x="133" y="19"/>
            <a:ext cx="63" cy="12"/>
          </a:xfrm>
          <a:prstGeom prst="parallelogram">
            <a:avLst>
              <a:gd name="adj" fmla="val 55830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7" name="AutoShape 3"/>
          <xdr:cNvSpPr>
            <a:spLocks noChangeArrowheads="1"/>
          </xdr:cNvSpPr>
        </xdr:nvSpPr>
        <xdr:spPr bwMode="auto">
          <a:xfrm flipH="1">
            <a:off x="143" y="37"/>
            <a:ext cx="63" cy="12"/>
          </a:xfrm>
          <a:prstGeom prst="parallelogram">
            <a:avLst>
              <a:gd name="adj" fmla="val 55830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8" name="AutoShape 4"/>
          <xdr:cNvSpPr>
            <a:spLocks noChangeArrowheads="1"/>
          </xdr:cNvSpPr>
        </xdr:nvSpPr>
        <xdr:spPr bwMode="auto">
          <a:xfrm flipH="1">
            <a:off x="154" y="54"/>
            <a:ext cx="63" cy="12"/>
          </a:xfrm>
          <a:prstGeom prst="parallelogram">
            <a:avLst>
              <a:gd name="adj" fmla="val 55830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9" name="AutoShape 5"/>
          <xdr:cNvSpPr>
            <a:spLocks noChangeArrowheads="1"/>
          </xdr:cNvSpPr>
        </xdr:nvSpPr>
        <xdr:spPr bwMode="auto">
          <a:xfrm>
            <a:off x="136" y="73"/>
            <a:ext cx="42" cy="47"/>
          </a:xfrm>
          <a:prstGeom prst="parallelogram">
            <a:avLst>
              <a:gd name="adj" fmla="val 66667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0" name="AutoShape 6"/>
          <xdr:cNvSpPr>
            <a:spLocks noChangeArrowheads="1"/>
          </xdr:cNvSpPr>
        </xdr:nvSpPr>
        <xdr:spPr bwMode="auto">
          <a:xfrm>
            <a:off x="157" y="73"/>
            <a:ext cx="42" cy="47"/>
          </a:xfrm>
          <a:prstGeom prst="parallelogram">
            <a:avLst>
              <a:gd name="adj" fmla="val 66667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1" name="AutoShape 7"/>
          <xdr:cNvSpPr>
            <a:spLocks noChangeArrowheads="1"/>
          </xdr:cNvSpPr>
        </xdr:nvSpPr>
        <xdr:spPr bwMode="auto">
          <a:xfrm>
            <a:off x="180" y="72"/>
            <a:ext cx="39" cy="47"/>
          </a:xfrm>
          <a:prstGeom prst="parallelogram">
            <a:avLst>
              <a:gd name="adj" fmla="val 66667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2" name="AutoShape 8"/>
          <xdr:cNvSpPr>
            <a:spLocks noChangeArrowheads="1"/>
          </xdr:cNvSpPr>
        </xdr:nvSpPr>
        <xdr:spPr bwMode="auto">
          <a:xfrm rot="7057339">
            <a:off x="118" y="32"/>
            <a:ext cx="41" cy="46"/>
          </a:xfrm>
          <a:prstGeom prst="parallelogram">
            <a:avLst>
              <a:gd name="adj" fmla="val 66667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3" name="AutoShape 9"/>
          <xdr:cNvSpPr>
            <a:spLocks noChangeArrowheads="1"/>
          </xdr:cNvSpPr>
        </xdr:nvSpPr>
        <xdr:spPr bwMode="auto">
          <a:xfrm rot="7057339">
            <a:off x="107" y="50"/>
            <a:ext cx="41" cy="46"/>
          </a:xfrm>
          <a:prstGeom prst="parallelogram">
            <a:avLst>
              <a:gd name="adj" fmla="val 66667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4" name="AutoShape 10"/>
          <xdr:cNvSpPr>
            <a:spLocks noChangeArrowheads="1"/>
          </xdr:cNvSpPr>
        </xdr:nvSpPr>
        <xdr:spPr bwMode="auto">
          <a:xfrm rot="7057339">
            <a:off x="97" y="68"/>
            <a:ext cx="41" cy="46"/>
          </a:xfrm>
          <a:prstGeom prst="parallelogram">
            <a:avLst>
              <a:gd name="adj" fmla="val 66667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239125" cy="58388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ETDubai/ETD%202000/REPORTS-Monthlly/ET%20Accounts%2012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Budget%202K/2000%20Budget,%20Version%201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Budget%202K/1998%20(Nov,%20Dec)%20Budge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budget"/>
      <sheetName val="P&amp;L"/>
      <sheetName val="Schedules"/>
      <sheetName val="monthly p&amp;l"/>
      <sheetName val="Balance Sheet"/>
      <sheetName val="Provisions"/>
      <sheetName val="Depn. 2000"/>
      <sheetName val="Prepaid 2000"/>
      <sheetName val="Sheet1"/>
      <sheetName val="Sheet2"/>
      <sheetName val="Sheet3"/>
    </sheetNames>
    <sheetDataSet>
      <sheetData sheetId="0">
        <row r="67">
          <cell r="O67">
            <v>673774.67</v>
          </cell>
        </row>
        <row r="81">
          <cell r="O81">
            <v>1312366.5</v>
          </cell>
        </row>
        <row r="89">
          <cell r="O89">
            <v>51316</v>
          </cell>
        </row>
        <row r="102">
          <cell r="O102">
            <v>143298</v>
          </cell>
        </row>
        <row r="111">
          <cell r="O111">
            <v>141744.75</v>
          </cell>
        </row>
        <row r="116">
          <cell r="O116">
            <v>101518.58</v>
          </cell>
        </row>
        <row r="117">
          <cell r="O117">
            <v>0</v>
          </cell>
        </row>
        <row r="118">
          <cell r="O118">
            <v>19593</v>
          </cell>
        </row>
        <row r="119">
          <cell r="O119">
            <v>110495.19</v>
          </cell>
        </row>
        <row r="120">
          <cell r="O120">
            <v>68566</v>
          </cell>
        </row>
        <row r="121">
          <cell r="O121">
            <v>1500</v>
          </cell>
        </row>
        <row r="122">
          <cell r="O122">
            <v>13519</v>
          </cell>
        </row>
        <row r="123">
          <cell r="O123">
            <v>78745.100000000006</v>
          </cell>
        </row>
        <row r="124">
          <cell r="O124">
            <v>13481</v>
          </cell>
        </row>
        <row r="125">
          <cell r="O125">
            <v>3171</v>
          </cell>
        </row>
        <row r="126">
          <cell r="O126">
            <v>0</v>
          </cell>
        </row>
        <row r="127">
          <cell r="O127">
            <v>36627.599999999999</v>
          </cell>
        </row>
        <row r="128">
          <cell r="O128">
            <v>0</v>
          </cell>
        </row>
        <row r="129">
          <cell r="O129">
            <v>174019</v>
          </cell>
        </row>
        <row r="130">
          <cell r="O130">
            <v>43593</v>
          </cell>
        </row>
        <row r="134">
          <cell r="O134">
            <v>763705</v>
          </cell>
        </row>
        <row r="135">
          <cell r="O135">
            <v>56555</v>
          </cell>
        </row>
        <row r="136">
          <cell r="O136">
            <v>8231</v>
          </cell>
        </row>
        <row r="137">
          <cell r="O137">
            <v>28015</v>
          </cell>
        </row>
        <row r="139">
          <cell r="O139">
            <v>19232</v>
          </cell>
        </row>
        <row r="140">
          <cell r="O140">
            <v>8884.1</v>
          </cell>
        </row>
        <row r="141">
          <cell r="O141">
            <v>40365.75</v>
          </cell>
        </row>
        <row r="142">
          <cell r="O142">
            <v>3923</v>
          </cell>
        </row>
        <row r="143">
          <cell r="O143">
            <v>0</v>
          </cell>
        </row>
        <row r="144">
          <cell r="O144">
            <v>17802</v>
          </cell>
        </row>
        <row r="145">
          <cell r="O145">
            <v>16527.559999999998</v>
          </cell>
        </row>
        <row r="146">
          <cell r="O146">
            <v>8000</v>
          </cell>
        </row>
        <row r="151">
          <cell r="O151">
            <v>217903</v>
          </cell>
        </row>
        <row r="152">
          <cell r="O152">
            <v>5320.75</v>
          </cell>
        </row>
        <row r="153">
          <cell r="O153">
            <v>67301.919999999998</v>
          </cell>
        </row>
        <row r="154">
          <cell r="O154">
            <v>9650</v>
          </cell>
        </row>
        <row r="155">
          <cell r="O155">
            <v>1207</v>
          </cell>
        </row>
        <row r="156">
          <cell r="O156">
            <v>4746.45</v>
          </cell>
        </row>
        <row r="157">
          <cell r="O157">
            <v>7200.5</v>
          </cell>
        </row>
        <row r="158">
          <cell r="O158">
            <v>8990</v>
          </cell>
        </row>
        <row r="159">
          <cell r="O159">
            <v>11410</v>
          </cell>
        </row>
        <row r="160">
          <cell r="O160">
            <v>1706</v>
          </cell>
        </row>
        <row r="161">
          <cell r="O161">
            <v>0</v>
          </cell>
        </row>
        <row r="162">
          <cell r="O162">
            <v>12360</v>
          </cell>
        </row>
        <row r="163">
          <cell r="O163">
            <v>31914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203.13</v>
          </cell>
        </row>
        <row r="167">
          <cell r="O167">
            <v>2791</v>
          </cell>
        </row>
        <row r="168">
          <cell r="O168">
            <v>0</v>
          </cell>
        </row>
        <row r="169">
          <cell r="O169">
            <v>3879.5</v>
          </cell>
        </row>
        <row r="170">
          <cell r="O170">
            <v>15089.25</v>
          </cell>
        </row>
        <row r="171">
          <cell r="O171">
            <v>29100</v>
          </cell>
        </row>
        <row r="172">
          <cell r="O172">
            <v>0</v>
          </cell>
        </row>
        <row r="173">
          <cell r="O173">
            <v>27930</v>
          </cell>
        </row>
        <row r="174">
          <cell r="O174">
            <v>0</v>
          </cell>
        </row>
        <row r="179">
          <cell r="O179">
            <v>0</v>
          </cell>
        </row>
        <row r="180">
          <cell r="O180">
            <v>1854</v>
          </cell>
        </row>
        <row r="181">
          <cell r="O181">
            <v>1107</v>
          </cell>
        </row>
        <row r="186">
          <cell r="O186">
            <v>9996</v>
          </cell>
        </row>
        <row r="187">
          <cell r="O187">
            <v>0</v>
          </cell>
        </row>
        <row r="188">
          <cell r="O188">
            <v>60000</v>
          </cell>
        </row>
        <row r="193">
          <cell r="O193">
            <v>4500</v>
          </cell>
        </row>
        <row r="194">
          <cell r="O194">
            <v>1088</v>
          </cell>
        </row>
        <row r="195">
          <cell r="O195">
            <v>0</v>
          </cell>
        </row>
        <row r="200">
          <cell r="O200">
            <v>117702.75</v>
          </cell>
        </row>
        <row r="201">
          <cell r="O201">
            <v>484</v>
          </cell>
        </row>
        <row r="202">
          <cell r="O202">
            <v>19163</v>
          </cell>
        </row>
        <row r="203">
          <cell r="O203">
            <v>0</v>
          </cell>
        </row>
        <row r="208">
          <cell r="O208">
            <v>514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2475.66</v>
          </cell>
        </row>
        <row r="212">
          <cell r="O212">
            <v>57258.48</v>
          </cell>
        </row>
        <row r="213">
          <cell r="O213">
            <v>-707.13999999999987</v>
          </cell>
        </row>
        <row r="244">
          <cell r="O244">
            <v>-649952.39</v>
          </cell>
        </row>
      </sheetData>
      <sheetData sheetId="1">
        <row r="67">
          <cell r="N67">
            <v>28291</v>
          </cell>
        </row>
        <row r="81">
          <cell r="N81">
            <v>149110</v>
          </cell>
        </row>
        <row r="89">
          <cell r="N89">
            <v>0</v>
          </cell>
        </row>
        <row r="102">
          <cell r="N102">
            <v>75543.77</v>
          </cell>
        </row>
        <row r="111">
          <cell r="N111">
            <v>66565</v>
          </cell>
        </row>
        <row r="116">
          <cell r="N116">
            <v>5526.81</v>
          </cell>
        </row>
        <row r="118">
          <cell r="N118">
            <v>184.48</v>
          </cell>
        </row>
        <row r="119">
          <cell r="N119">
            <v>28802.87</v>
          </cell>
        </row>
        <row r="120">
          <cell r="N120">
            <v>4426.5</v>
          </cell>
        </row>
        <row r="122">
          <cell r="N122">
            <v>1993</v>
          </cell>
        </row>
        <row r="123">
          <cell r="N123">
            <v>11375.58</v>
          </cell>
        </row>
        <row r="124">
          <cell r="N124">
            <v>16957.5</v>
          </cell>
        </row>
        <row r="125">
          <cell r="N125">
            <v>-681.6</v>
          </cell>
        </row>
        <row r="127">
          <cell r="N127">
            <v>-2010.6</v>
          </cell>
        </row>
        <row r="129">
          <cell r="N129">
            <v>17727</v>
          </cell>
        </row>
        <row r="130">
          <cell r="N130">
            <v>5058</v>
          </cell>
        </row>
        <row r="134">
          <cell r="N134">
            <v>86042</v>
          </cell>
        </row>
        <row r="136">
          <cell r="N136">
            <v>6821</v>
          </cell>
        </row>
        <row r="137">
          <cell r="N137">
            <v>1443</v>
          </cell>
        </row>
        <row r="138">
          <cell r="N138">
            <v>3462</v>
          </cell>
        </row>
        <row r="140">
          <cell r="N140">
            <v>1443.5</v>
          </cell>
        </row>
        <row r="141">
          <cell r="N141">
            <v>67</v>
          </cell>
        </row>
        <row r="142">
          <cell r="N142">
            <v>2275</v>
          </cell>
        </row>
        <row r="143">
          <cell r="N143">
            <v>1975</v>
          </cell>
        </row>
        <row r="144">
          <cell r="N144">
            <v>3124</v>
          </cell>
        </row>
        <row r="151">
          <cell r="N151">
            <v>18156</v>
          </cell>
        </row>
        <row r="153">
          <cell r="N153">
            <v>10774.62</v>
          </cell>
        </row>
        <row r="155">
          <cell r="N155">
            <v>180</v>
          </cell>
        </row>
        <row r="156">
          <cell r="N156">
            <v>171</v>
          </cell>
        </row>
        <row r="157">
          <cell r="N157">
            <v>550</v>
          </cell>
        </row>
        <row r="160">
          <cell r="N160">
            <v>104</v>
          </cell>
        </row>
        <row r="161">
          <cell r="N161">
            <v>5885</v>
          </cell>
        </row>
        <row r="162">
          <cell r="N162">
            <v>60</v>
          </cell>
        </row>
        <row r="166">
          <cell r="N166">
            <v>1672.5</v>
          </cell>
        </row>
        <row r="167">
          <cell r="N167">
            <v>645</v>
          </cell>
        </row>
        <row r="168">
          <cell r="N168">
            <v>2387</v>
          </cell>
        </row>
        <row r="180">
          <cell r="N180">
            <v>830</v>
          </cell>
        </row>
        <row r="181">
          <cell r="N181">
            <v>1783</v>
          </cell>
        </row>
        <row r="186">
          <cell r="N186">
            <v>833</v>
          </cell>
        </row>
        <row r="188">
          <cell r="N188">
            <v>2000</v>
          </cell>
        </row>
        <row r="193">
          <cell r="N193">
            <v>375</v>
          </cell>
        </row>
        <row r="194">
          <cell r="N194">
            <v>86</v>
          </cell>
        </row>
        <row r="200">
          <cell r="N200">
            <v>16105</v>
          </cell>
        </row>
        <row r="202">
          <cell r="N202">
            <v>1818.5</v>
          </cell>
        </row>
        <row r="211">
          <cell r="N211">
            <v>615.85</v>
          </cell>
        </row>
        <row r="217">
          <cell r="N217">
            <v>10000</v>
          </cell>
        </row>
        <row r="221">
          <cell r="O221">
            <v>19764</v>
          </cell>
        </row>
        <row r="222">
          <cell r="O222">
            <v>0</v>
          </cell>
        </row>
        <row r="223">
          <cell r="O223">
            <v>39483</v>
          </cell>
        </row>
        <row r="224">
          <cell r="O224">
            <v>112576</v>
          </cell>
        </row>
        <row r="225">
          <cell r="O225">
            <v>0</v>
          </cell>
        </row>
        <row r="226">
          <cell r="O226">
            <v>2988</v>
          </cell>
        </row>
        <row r="227">
          <cell r="O227">
            <v>996</v>
          </cell>
        </row>
        <row r="228">
          <cell r="O228">
            <v>4601</v>
          </cell>
        </row>
        <row r="229">
          <cell r="O229">
            <v>22420</v>
          </cell>
        </row>
        <row r="230">
          <cell r="O230">
            <v>7176</v>
          </cell>
        </row>
        <row r="231">
          <cell r="O231">
            <v>596.5</v>
          </cell>
        </row>
        <row r="232">
          <cell r="O232">
            <v>3651</v>
          </cell>
        </row>
        <row r="244">
          <cell r="O244">
            <v>-158733.26999999996</v>
          </cell>
        </row>
      </sheetData>
      <sheetData sheetId="2">
        <row r="67">
          <cell r="N67">
            <v>123406</v>
          </cell>
        </row>
        <row r="81">
          <cell r="N81">
            <v>112805</v>
          </cell>
        </row>
        <row r="89">
          <cell r="N89">
            <v>0</v>
          </cell>
        </row>
        <row r="102">
          <cell r="N102">
            <v>0</v>
          </cell>
        </row>
        <row r="111">
          <cell r="N111">
            <v>0</v>
          </cell>
        </row>
        <row r="116">
          <cell r="N116">
            <v>13920</v>
          </cell>
        </row>
        <row r="119">
          <cell r="N119">
            <v>9025</v>
          </cell>
        </row>
        <row r="120">
          <cell r="N120">
            <v>2975</v>
          </cell>
        </row>
        <row r="123">
          <cell r="N123">
            <v>8851</v>
          </cell>
        </row>
        <row r="127">
          <cell r="N127">
            <v>4092</v>
          </cell>
        </row>
        <row r="128">
          <cell r="N128">
            <v>2362</v>
          </cell>
        </row>
        <row r="129">
          <cell r="N129">
            <v>18898</v>
          </cell>
        </row>
        <row r="130">
          <cell r="N130">
            <v>4724</v>
          </cell>
        </row>
        <row r="134">
          <cell r="N134">
            <v>72735</v>
          </cell>
        </row>
        <row r="135">
          <cell r="N135">
            <v>23500</v>
          </cell>
        </row>
        <row r="136">
          <cell r="N136">
            <v>7811</v>
          </cell>
        </row>
        <row r="137">
          <cell r="N137">
            <v>1650</v>
          </cell>
        </row>
        <row r="138">
          <cell r="N138">
            <v>4135</v>
          </cell>
        </row>
        <row r="139">
          <cell r="N139">
            <v>1000</v>
          </cell>
        </row>
        <row r="140">
          <cell r="N140">
            <v>814</v>
          </cell>
        </row>
        <row r="141">
          <cell r="N141">
            <v>150</v>
          </cell>
        </row>
        <row r="142">
          <cell r="N142">
            <v>3145</v>
          </cell>
        </row>
        <row r="143">
          <cell r="N143">
            <v>3000</v>
          </cell>
        </row>
        <row r="144">
          <cell r="N144">
            <v>4125</v>
          </cell>
        </row>
        <row r="151">
          <cell r="N151">
            <v>18159</v>
          </cell>
        </row>
        <row r="153">
          <cell r="N153">
            <v>7500</v>
          </cell>
        </row>
        <row r="154">
          <cell r="N154">
            <v>1200</v>
          </cell>
        </row>
        <row r="155">
          <cell r="N155">
            <v>100</v>
          </cell>
        </row>
        <row r="156">
          <cell r="N156">
            <v>525</v>
          </cell>
        </row>
        <row r="157">
          <cell r="N157">
            <v>2000</v>
          </cell>
        </row>
        <row r="158">
          <cell r="N158">
            <v>1600</v>
          </cell>
        </row>
        <row r="160">
          <cell r="N160">
            <v>750</v>
          </cell>
        </row>
        <row r="162">
          <cell r="N162">
            <v>2000</v>
          </cell>
        </row>
        <row r="163">
          <cell r="N163">
            <v>175</v>
          </cell>
        </row>
        <row r="164">
          <cell r="N164">
            <v>225</v>
          </cell>
        </row>
        <row r="166">
          <cell r="N166">
            <v>100</v>
          </cell>
        </row>
        <row r="167">
          <cell r="N167">
            <v>2327</v>
          </cell>
        </row>
        <row r="168">
          <cell r="N168">
            <v>2750</v>
          </cell>
        </row>
        <row r="180">
          <cell r="M180">
            <v>400</v>
          </cell>
        </row>
        <row r="181">
          <cell r="M181">
            <v>350</v>
          </cell>
        </row>
        <row r="186">
          <cell r="N186">
            <v>837</v>
          </cell>
        </row>
        <row r="188">
          <cell r="N188">
            <v>1500</v>
          </cell>
        </row>
        <row r="193">
          <cell r="N193">
            <v>375</v>
          </cell>
        </row>
        <row r="194">
          <cell r="N194">
            <v>125</v>
          </cell>
        </row>
        <row r="200">
          <cell r="N200">
            <v>10000</v>
          </cell>
        </row>
        <row r="201">
          <cell r="N201">
            <v>375</v>
          </cell>
        </row>
        <row r="208">
          <cell r="N208">
            <v>100</v>
          </cell>
        </row>
        <row r="211">
          <cell r="N211">
            <v>300</v>
          </cell>
        </row>
        <row r="212">
          <cell r="N212">
            <v>1429</v>
          </cell>
        </row>
        <row r="213">
          <cell r="N213">
            <v>75</v>
          </cell>
        </row>
        <row r="217">
          <cell r="N217">
            <v>10000</v>
          </cell>
        </row>
      </sheetData>
      <sheetData sheetId="3"/>
      <sheetData sheetId="4"/>
      <sheetData sheetId="5"/>
      <sheetData sheetId="6"/>
      <sheetData sheetId="7"/>
      <sheetData sheetId="8">
        <row r="263">
          <cell r="F263">
            <v>130529.58</v>
          </cell>
          <cell r="G263">
            <v>1350</v>
          </cell>
          <cell r="H263">
            <v>0</v>
          </cell>
          <cell r="J263">
            <v>47551.056000000011</v>
          </cell>
          <cell r="L263">
            <v>0</v>
          </cell>
        </row>
        <row r="264">
          <cell r="F264">
            <v>183042</v>
          </cell>
          <cell r="G264">
            <v>128000</v>
          </cell>
          <cell r="H264">
            <v>0</v>
          </cell>
          <cell r="J264">
            <v>183042</v>
          </cell>
          <cell r="L264">
            <v>0</v>
          </cell>
        </row>
        <row r="265">
          <cell r="F265">
            <v>293094</v>
          </cell>
          <cell r="G265">
            <v>205944.77</v>
          </cell>
          <cell r="H265">
            <v>-11330</v>
          </cell>
          <cell r="J265">
            <v>187000.81250000003</v>
          </cell>
          <cell r="L265">
            <v>-8497</v>
          </cell>
        </row>
        <row r="266">
          <cell r="F266">
            <v>0</v>
          </cell>
          <cell r="G266">
            <v>0</v>
          </cell>
          <cell r="J266">
            <v>0.33333333333331439</v>
          </cell>
          <cell r="L266">
            <v>0</v>
          </cell>
        </row>
        <row r="267">
          <cell r="F267">
            <v>14950</v>
          </cell>
          <cell r="G267">
            <v>0</v>
          </cell>
          <cell r="H267">
            <v>0</v>
          </cell>
          <cell r="J267">
            <v>7724.1666666666661</v>
          </cell>
          <cell r="L267">
            <v>0</v>
          </cell>
        </row>
        <row r="268">
          <cell r="F268">
            <v>5000</v>
          </cell>
          <cell r="G268">
            <v>0</v>
          </cell>
          <cell r="H268">
            <v>0</v>
          </cell>
          <cell r="J268">
            <v>2583.333333333333</v>
          </cell>
          <cell r="L268">
            <v>0</v>
          </cell>
        </row>
        <row r="269">
          <cell r="F269">
            <v>20892</v>
          </cell>
          <cell r="G269">
            <v>2697</v>
          </cell>
          <cell r="H269">
            <v>0</v>
          </cell>
          <cell r="J269">
            <v>10734</v>
          </cell>
          <cell r="L269">
            <v>0</v>
          </cell>
        </row>
        <row r="270">
          <cell r="F270">
            <v>64534</v>
          </cell>
          <cell r="G270">
            <v>52014</v>
          </cell>
          <cell r="H270">
            <v>0</v>
          </cell>
          <cell r="J270">
            <v>33342.15</v>
          </cell>
          <cell r="L270">
            <v>0</v>
          </cell>
        </row>
        <row r="271">
          <cell r="F271">
            <v>29474.420000000002</v>
          </cell>
          <cell r="G271">
            <v>3651</v>
          </cell>
          <cell r="H271">
            <v>0</v>
          </cell>
          <cell r="J271">
            <v>29474.420000000002</v>
          </cell>
          <cell r="L271">
            <v>0</v>
          </cell>
        </row>
        <row r="272">
          <cell r="F272">
            <v>15244.31</v>
          </cell>
          <cell r="G272">
            <v>597</v>
          </cell>
          <cell r="H272">
            <v>0</v>
          </cell>
          <cell r="J272">
            <v>15244.31</v>
          </cell>
          <cell r="L272">
            <v>0</v>
          </cell>
        </row>
        <row r="273">
          <cell r="F273">
            <v>35870</v>
          </cell>
          <cell r="G273">
            <v>0</v>
          </cell>
          <cell r="H273">
            <v>0</v>
          </cell>
          <cell r="J273">
            <v>24212.246666666666</v>
          </cell>
          <cell r="L273">
            <v>0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KEY INDICATORS"/>
      <sheetName val="P &amp; L"/>
      <sheetName val="Monthly P &amp; L"/>
      <sheetName val="CASH FLOW"/>
      <sheetName val="SALES"/>
      <sheetName val="COS"/>
      <sheetName val="GEN. O.H"/>
      <sheetName val="CAPEX"/>
      <sheetName val="BALANCE SHEET"/>
      <sheetName val="CHART 1"/>
      <sheetName val="B.S SCHEDULES"/>
      <sheetName val="STAFF REQ."/>
      <sheetName val="sales proj"/>
      <sheetName val="COS-REFRESH"/>
      <sheetName val="COS-MATLS."/>
      <sheetName val="MAX SALES"/>
      <sheetName val="BEP"/>
      <sheetName val="STAFF COSTS"/>
      <sheetName val="COST FLOW"/>
      <sheetName val="DEPT.ALLO."/>
      <sheetName val="A &amp; P"/>
      <sheetName val="SALES PROJEC. FORMAT"/>
      <sheetName val="HO Inter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E6">
            <v>39200</v>
          </cell>
          <cell r="H6">
            <v>86240</v>
          </cell>
          <cell r="K6">
            <v>101920</v>
          </cell>
          <cell r="N6">
            <v>109759.99999999999</v>
          </cell>
          <cell r="Q6">
            <v>117600</v>
          </cell>
          <cell r="T6">
            <v>117600</v>
          </cell>
          <cell r="W6">
            <v>94080</v>
          </cell>
          <cell r="Z6">
            <v>109759.99999999999</v>
          </cell>
          <cell r="AC6">
            <v>125440.00000000001</v>
          </cell>
          <cell r="AF6">
            <v>125440.00000000001</v>
          </cell>
          <cell r="AI6">
            <v>125440.00000000001</v>
          </cell>
        </row>
        <row r="12">
          <cell r="E12">
            <v>8212.5</v>
          </cell>
          <cell r="H12">
            <v>18067.5</v>
          </cell>
          <cell r="K12">
            <v>21352.5</v>
          </cell>
          <cell r="N12">
            <v>22995</v>
          </cell>
          <cell r="Q12">
            <v>24637.5</v>
          </cell>
          <cell r="T12">
            <v>24637.5</v>
          </cell>
          <cell r="W12">
            <v>19710</v>
          </cell>
          <cell r="Z12">
            <v>22995</v>
          </cell>
          <cell r="AC12">
            <v>26280</v>
          </cell>
          <cell r="AF12">
            <v>26280</v>
          </cell>
          <cell r="AI12">
            <v>26280</v>
          </cell>
        </row>
      </sheetData>
      <sheetData sheetId="6" refreshError="1"/>
      <sheetData sheetId="7">
        <row r="22">
          <cell r="F22">
            <v>0</v>
          </cell>
          <cell r="G22">
            <v>0</v>
          </cell>
          <cell r="I22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5">
          <cell r="G35">
            <v>0</v>
          </cell>
          <cell r="J35">
            <v>0</v>
          </cell>
          <cell r="M35">
            <v>0</v>
          </cell>
        </row>
        <row r="49">
          <cell r="Q49">
            <v>10000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25000</v>
          </cell>
        </row>
        <row r="77">
          <cell r="E77">
            <v>10000</v>
          </cell>
          <cell r="F77">
            <v>10000</v>
          </cell>
          <cell r="G77">
            <v>10000</v>
          </cell>
          <cell r="H77">
            <v>10000</v>
          </cell>
          <cell r="I77">
            <v>10000</v>
          </cell>
          <cell r="J77">
            <v>10000</v>
          </cell>
          <cell r="K77">
            <v>10000</v>
          </cell>
          <cell r="L77">
            <v>10000</v>
          </cell>
          <cell r="M77">
            <v>10000</v>
          </cell>
          <cell r="N77">
            <v>10000</v>
          </cell>
          <cell r="O77">
            <v>10000</v>
          </cell>
          <cell r="P77">
            <v>10000</v>
          </cell>
        </row>
        <row r="85">
          <cell r="Q85">
            <v>0</v>
          </cell>
        </row>
        <row r="96">
          <cell r="Q96">
            <v>0</v>
          </cell>
        </row>
      </sheetData>
      <sheetData sheetId="8"/>
      <sheetData sheetId="9" refreshError="1"/>
      <sheetData sheetId="10" refreshError="1"/>
      <sheetData sheetId="11">
        <row r="115">
          <cell r="D115">
            <v>300000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0">
          <cell r="O10">
            <v>0</v>
          </cell>
        </row>
      </sheetData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C.STATE"/>
      <sheetName val="COS-REFRESH"/>
      <sheetName val="COS-MATLS."/>
      <sheetName val="SALES"/>
      <sheetName val="NARESH NOS."/>
      <sheetName val="GEN. O.H"/>
      <sheetName val="COST FLOW"/>
      <sheetName val="B.S SCHEDULES"/>
      <sheetName val="Monthly P &amp; L"/>
      <sheetName val="MAX SALES"/>
      <sheetName val="BEP"/>
      <sheetName val="STAFF REQ."/>
      <sheetName val="STAFF COSTS"/>
      <sheetName val="COS"/>
      <sheetName val="BALANCE SHEET"/>
      <sheetName val="CAPEX"/>
      <sheetName val="DEPT.ALLO."/>
      <sheetName val="A &amp; P"/>
      <sheetName val="SALES PROJEC. FORMAT"/>
      <sheetName val="CASH FLOW"/>
      <sheetName val="HO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3">
          <cell r="C4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18"/>
  <sheetViews>
    <sheetView showGridLines="0" showZeros="0" workbookViewId="0">
      <selection activeCell="B18" sqref="B18"/>
    </sheetView>
  </sheetViews>
  <sheetFormatPr defaultRowHeight="12.75"/>
  <cols>
    <col min="1" max="1" width="36.28515625" customWidth="1"/>
    <col min="2" max="2" width="18.140625" customWidth="1"/>
  </cols>
  <sheetData>
    <row r="1" spans="1:2">
      <c r="A1" s="193"/>
      <c r="B1" s="193"/>
    </row>
    <row r="2" spans="1:2">
      <c r="A2" s="104" t="s">
        <v>42</v>
      </c>
      <c r="B2" s="104" t="s">
        <v>229</v>
      </c>
    </row>
    <row r="3" spans="1:2">
      <c r="A3" s="193"/>
      <c r="B3" s="193"/>
    </row>
    <row r="4" spans="1:2">
      <c r="A4" s="193" t="s">
        <v>564</v>
      </c>
      <c r="B4" s="194">
        <v>1</v>
      </c>
    </row>
    <row r="5" spans="1:2">
      <c r="A5" s="193"/>
      <c r="B5" s="194"/>
    </row>
    <row r="6" spans="1:2">
      <c r="A6" s="193" t="s">
        <v>230</v>
      </c>
      <c r="B6" s="194">
        <v>2</v>
      </c>
    </row>
    <row r="7" spans="1:2">
      <c r="A7" s="193"/>
      <c r="B7" s="194"/>
    </row>
    <row r="8" spans="1:2" hidden="1">
      <c r="A8" s="193" t="s">
        <v>231</v>
      </c>
      <c r="B8" s="194">
        <v>5</v>
      </c>
    </row>
    <row r="9" spans="1:2">
      <c r="A9" s="193" t="s">
        <v>231</v>
      </c>
      <c r="B9" s="194">
        <v>3</v>
      </c>
    </row>
    <row r="10" spans="1:2">
      <c r="A10" s="193"/>
      <c r="B10" s="194"/>
    </row>
    <row r="11" spans="1:2">
      <c r="A11" s="193" t="s">
        <v>232</v>
      </c>
      <c r="B11" s="194" t="s">
        <v>849</v>
      </c>
    </row>
    <row r="12" spans="1:2">
      <c r="A12" s="193"/>
      <c r="B12" s="194"/>
    </row>
    <row r="13" spans="1:2">
      <c r="A13" s="193" t="s">
        <v>233</v>
      </c>
      <c r="B13" s="194">
        <v>8</v>
      </c>
    </row>
    <row r="14" spans="1:2">
      <c r="A14" s="193"/>
      <c r="B14" s="194"/>
    </row>
    <row r="15" spans="1:2" hidden="1">
      <c r="A15" s="193" t="s">
        <v>234</v>
      </c>
      <c r="B15" s="194">
        <v>15</v>
      </c>
    </row>
    <row r="16" spans="1:2">
      <c r="A16" s="193" t="s">
        <v>853</v>
      </c>
      <c r="B16" s="194">
        <v>9</v>
      </c>
    </row>
    <row r="17" spans="1:2">
      <c r="A17" s="193"/>
      <c r="B17" s="193"/>
    </row>
    <row r="18" spans="1:2" ht="12.75" customHeight="1">
      <c r="A18" s="193" t="s">
        <v>852</v>
      </c>
      <c r="B18" s="194" t="s">
        <v>854</v>
      </c>
    </row>
  </sheetData>
  <phoneticPr fontId="0" type="noConversion"/>
  <pageMargins left="3.09" right="0.75" top="2.1" bottom="1.19" header="1.06" footer="0.5"/>
  <pageSetup scale="95" orientation="landscape" r:id="rId1"/>
  <headerFooter alignWithMargins="0">
    <oddHeader>&amp;C&amp;"Arial,Bold"EXECUTRAIN - DUBAI
Budget for the period Jan.2003 to Dec.2003
Contents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1:CG84"/>
  <sheetViews>
    <sheetView showZero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7" sqref="A77"/>
    </sheetView>
  </sheetViews>
  <sheetFormatPr defaultRowHeight="12.75"/>
  <cols>
    <col min="1" max="1" width="29.28515625" customWidth="1"/>
    <col min="2" max="2" width="10.42578125" style="111" customWidth="1"/>
    <col min="3" max="3" width="9.7109375" customWidth="1"/>
    <col min="4" max="4" width="9.5703125" customWidth="1"/>
    <col min="5" max="6" width="9.7109375" customWidth="1"/>
    <col min="7" max="7" width="9.5703125" customWidth="1"/>
    <col min="8" max="8" width="11.7109375" bestFit="1" customWidth="1"/>
    <col min="9" max="9" width="10.140625" customWidth="1"/>
    <col min="10" max="11" width="11.7109375" bestFit="1" customWidth="1"/>
    <col min="12" max="13" width="10.85546875" bestFit="1" customWidth="1"/>
    <col min="14" max="14" width="9.28515625" customWidth="1"/>
    <col min="15" max="15" width="11.5703125" bestFit="1" customWidth="1"/>
    <col min="16" max="16" width="9.7109375" bestFit="1" customWidth="1"/>
  </cols>
  <sheetData>
    <row r="1" spans="1:15" s="30" customFormat="1">
      <c r="A1" s="114" t="s">
        <v>131</v>
      </c>
      <c r="B1" s="115" t="s">
        <v>132</v>
      </c>
      <c r="C1" s="116">
        <v>37257</v>
      </c>
      <c r="D1" s="116">
        <v>37288</v>
      </c>
      <c r="E1" s="116">
        <v>37316</v>
      </c>
      <c r="F1" s="116">
        <v>37347</v>
      </c>
      <c r="G1" s="116">
        <v>37377</v>
      </c>
      <c r="H1" s="116">
        <v>37408</v>
      </c>
      <c r="I1" s="116">
        <v>37438</v>
      </c>
      <c r="J1" s="116">
        <v>37469</v>
      </c>
      <c r="K1" s="116">
        <v>37500</v>
      </c>
      <c r="L1" s="116">
        <v>37530</v>
      </c>
      <c r="M1" s="116">
        <v>37561</v>
      </c>
      <c r="N1" s="116">
        <v>37591</v>
      </c>
      <c r="O1" s="117" t="s">
        <v>5</v>
      </c>
    </row>
    <row r="2" spans="1:15">
      <c r="A2" s="121" t="s">
        <v>0</v>
      </c>
      <c r="B2" s="119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0"/>
    </row>
    <row r="3" spans="1:15" ht="15">
      <c r="A3" s="122" t="s">
        <v>2</v>
      </c>
      <c r="B3" s="119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20"/>
    </row>
    <row r="4" spans="1:15">
      <c r="A4" s="118" t="s">
        <v>133</v>
      </c>
      <c r="B4" s="119">
        <v>0.12</v>
      </c>
      <c r="C4" s="123">
        <f>(+SALES!E7)*B4</f>
        <v>9060</v>
      </c>
      <c r="D4" s="123">
        <f>(+SALES!H7)*B4</f>
        <v>10815</v>
      </c>
      <c r="E4" s="123">
        <f>(+SALES!K7)*B4</f>
        <v>12315</v>
      </c>
      <c r="F4" s="123">
        <f>(+SALES!N7)*B4</f>
        <v>15315</v>
      </c>
      <c r="G4" s="123">
        <f>(+SALES!Q7)*B4</f>
        <v>16815</v>
      </c>
      <c r="H4" s="123">
        <f>(+SALES!T7)*B4</f>
        <v>15315</v>
      </c>
      <c r="I4" s="123">
        <f>(+SALES!W7)*B4</f>
        <v>11550</v>
      </c>
      <c r="J4" s="123">
        <f>(+SALES!Z7)*B4</f>
        <v>10050</v>
      </c>
      <c r="K4" s="123">
        <f>(+SALES!AC7)*B4</f>
        <v>10815</v>
      </c>
      <c r="L4" s="123">
        <f>(+SALES!AF7)*B4</f>
        <v>15315</v>
      </c>
      <c r="M4" s="123">
        <f>(+SALES!AI7)*B4</f>
        <v>11550</v>
      </c>
      <c r="N4" s="123">
        <f>(+SALES!AL7)*B4</f>
        <v>8550</v>
      </c>
      <c r="O4" s="124">
        <f>SUM(C4:N4)</f>
        <v>147465</v>
      </c>
    </row>
    <row r="5" spans="1:15">
      <c r="A5" s="118" t="s">
        <v>134</v>
      </c>
      <c r="B5" s="119">
        <v>0.02</v>
      </c>
      <c r="C5" s="123">
        <f>(+SALES!E7)*B5</f>
        <v>1510</v>
      </c>
      <c r="D5" s="123">
        <f>(+SALES!H7)*B5</f>
        <v>1802.5</v>
      </c>
      <c r="E5" s="123">
        <f>(+SALES!K7)*B5</f>
        <v>2052.5</v>
      </c>
      <c r="F5" s="123">
        <f>(+SALES!N7)*B5</f>
        <v>2552.5</v>
      </c>
      <c r="G5" s="123">
        <f>(+SALES!Q7)*B5</f>
        <v>2802.5</v>
      </c>
      <c r="H5" s="123">
        <f>(+SALES!T7)*B5</f>
        <v>2552.5</v>
      </c>
      <c r="I5" s="123">
        <f>(+SALES!W7)*B5</f>
        <v>1925</v>
      </c>
      <c r="J5" s="123">
        <f>(+SALES!Z7)*B5</f>
        <v>1675</v>
      </c>
      <c r="K5" s="123">
        <f>(+SALES!AC7)*B5</f>
        <v>1802.5</v>
      </c>
      <c r="L5" s="123">
        <f>(+SALES!AF7)*B5</f>
        <v>2552.5</v>
      </c>
      <c r="M5" s="123">
        <f>(+SALES!AI7)*B5</f>
        <v>1925</v>
      </c>
      <c r="N5" s="123">
        <f>(+SALES!AL7)*B5</f>
        <v>1425</v>
      </c>
      <c r="O5" s="124">
        <f>SUM(C5:N5)</f>
        <v>24577.5</v>
      </c>
    </row>
    <row r="6" spans="1:15">
      <c r="A6" s="118" t="s">
        <v>135</v>
      </c>
      <c r="B6" s="119">
        <v>0.02</v>
      </c>
      <c r="C6" s="123">
        <f>(+SALES!E7)*B6</f>
        <v>1510</v>
      </c>
      <c r="D6" s="123">
        <f>(+SALES!H7)*B6</f>
        <v>1802.5</v>
      </c>
      <c r="E6" s="123">
        <f>(+SALES!K7)*B6</f>
        <v>2052.5</v>
      </c>
      <c r="F6" s="123">
        <f>(+SALES!N7)*B6</f>
        <v>2552.5</v>
      </c>
      <c r="G6" s="123">
        <f>(+SALES!Q7)*B6</f>
        <v>2802.5</v>
      </c>
      <c r="H6" s="123">
        <f>(+SALES!T7)*B6</f>
        <v>2552.5</v>
      </c>
      <c r="I6" s="123">
        <f>(+SALES!W7)*B6</f>
        <v>1925</v>
      </c>
      <c r="J6" s="123">
        <f>(+SALES!Z7)*B6</f>
        <v>1675</v>
      </c>
      <c r="K6" s="123">
        <f>(+SALES!AC7)*B6</f>
        <v>1802.5</v>
      </c>
      <c r="L6" s="123">
        <f>(+SALES!AF7)*B6</f>
        <v>2552.5</v>
      </c>
      <c r="M6" s="123">
        <f>(+SALES!AI7)*B6</f>
        <v>1925</v>
      </c>
      <c r="N6" s="123">
        <f>(+SALES!AL7)*B6</f>
        <v>1425</v>
      </c>
      <c r="O6" s="124">
        <f>SUM(C6:N6)</f>
        <v>24577.5</v>
      </c>
    </row>
    <row r="7" spans="1:15">
      <c r="A7" s="118" t="s">
        <v>136</v>
      </c>
      <c r="B7" s="119">
        <v>0.08</v>
      </c>
      <c r="C7" s="123">
        <f>(+SALES!E7)*B7</f>
        <v>6040</v>
      </c>
      <c r="D7" s="123">
        <f>(+SALES!H7)*B7</f>
        <v>7210</v>
      </c>
      <c r="E7" s="123">
        <f>(+SALES!K7)*B7</f>
        <v>8210</v>
      </c>
      <c r="F7" s="123">
        <f>(+SALES!N7)*B7</f>
        <v>10210</v>
      </c>
      <c r="G7" s="123">
        <f>(+SALES!Q7)*B7</f>
        <v>11210</v>
      </c>
      <c r="H7" s="123">
        <f>(+SALES!T7)*B7</f>
        <v>10210</v>
      </c>
      <c r="I7" s="123">
        <f>(+SALES!W7)*B7</f>
        <v>7700</v>
      </c>
      <c r="J7" s="123">
        <f>(+SALES!Z7)*B7</f>
        <v>6700</v>
      </c>
      <c r="K7" s="123">
        <f>(+SALES!AC7)*B7</f>
        <v>7210</v>
      </c>
      <c r="L7" s="123">
        <f>(+SALES!AF7)*B7</f>
        <v>10210</v>
      </c>
      <c r="M7" s="123">
        <f>(+SALES!AI7)*B7</f>
        <v>7700</v>
      </c>
      <c r="N7" s="123">
        <f>(+SALES!AL7)*B7</f>
        <v>5700</v>
      </c>
      <c r="O7" s="124">
        <f>SUM(C7:N7)</f>
        <v>98310</v>
      </c>
    </row>
    <row r="8" spans="1:15">
      <c r="A8" s="118" t="s">
        <v>137</v>
      </c>
      <c r="B8" s="119">
        <v>0.02</v>
      </c>
      <c r="C8" s="123">
        <f>(+SALES!E7)*B8</f>
        <v>1510</v>
      </c>
      <c r="D8" s="123">
        <f>(+SALES!H7)*B8</f>
        <v>1802.5</v>
      </c>
      <c r="E8" s="123">
        <f>(+SALES!K7)*B8</f>
        <v>2052.5</v>
      </c>
      <c r="F8" s="123">
        <f>(+SALES!N7)*B8</f>
        <v>2552.5</v>
      </c>
      <c r="G8" s="123">
        <f>(+SALES!Q7)*B8</f>
        <v>2802.5</v>
      </c>
      <c r="H8" s="123">
        <f>(+SALES!T7)*B8</f>
        <v>2552.5</v>
      </c>
      <c r="I8" s="123">
        <f>(+SALES!W7)*B8</f>
        <v>1925</v>
      </c>
      <c r="J8" s="123">
        <f>(+SALES!Z7)*B8</f>
        <v>1675</v>
      </c>
      <c r="K8" s="123">
        <f>(+SALES!AC7)*B8</f>
        <v>1802.5</v>
      </c>
      <c r="L8" s="123">
        <f>(+SALES!AF7)*B8</f>
        <v>2552.5</v>
      </c>
      <c r="M8" s="123">
        <f>(+SALES!AI7)*B8</f>
        <v>1925</v>
      </c>
      <c r="N8" s="123">
        <f>(+SALES!AL7)*B8</f>
        <v>1425</v>
      </c>
      <c r="O8" s="124">
        <f>SUM(C8:N8)</f>
        <v>24577.5</v>
      </c>
    </row>
    <row r="9" spans="1:15" s="24" customFormat="1">
      <c r="A9" s="125" t="s">
        <v>138</v>
      </c>
      <c r="B9" s="112">
        <f>SUM(B4:B8)</f>
        <v>0.26</v>
      </c>
      <c r="C9" s="113">
        <f>SUM(C4:C8)</f>
        <v>19630</v>
      </c>
      <c r="D9" s="113">
        <f t="shared" ref="D9:O9" si="0">SUM(D4:D8)</f>
        <v>23432.5</v>
      </c>
      <c r="E9" s="113">
        <f t="shared" si="0"/>
        <v>26682.5</v>
      </c>
      <c r="F9" s="113">
        <f t="shared" si="0"/>
        <v>33182.5</v>
      </c>
      <c r="G9" s="113">
        <f t="shared" si="0"/>
        <v>36432.5</v>
      </c>
      <c r="H9" s="113">
        <f t="shared" si="0"/>
        <v>33182.5</v>
      </c>
      <c r="I9" s="113">
        <f t="shared" si="0"/>
        <v>25025</v>
      </c>
      <c r="J9" s="113">
        <f t="shared" si="0"/>
        <v>21775</v>
      </c>
      <c r="K9" s="113">
        <f t="shared" si="0"/>
        <v>23432.5</v>
      </c>
      <c r="L9" s="113">
        <f t="shared" si="0"/>
        <v>33182.5</v>
      </c>
      <c r="M9" s="113">
        <f t="shared" si="0"/>
        <v>25025</v>
      </c>
      <c r="N9" s="113">
        <f t="shared" si="0"/>
        <v>18525</v>
      </c>
      <c r="O9" s="126">
        <f t="shared" si="0"/>
        <v>319507.5</v>
      </c>
    </row>
    <row r="10" spans="1:15" ht="15">
      <c r="A10" s="122" t="s">
        <v>685</v>
      </c>
      <c r="B10" s="119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4"/>
    </row>
    <row r="11" spans="1:15">
      <c r="A11" s="118" t="s">
        <v>702</v>
      </c>
      <c r="B11" s="119">
        <v>0.15</v>
      </c>
      <c r="C11" s="123">
        <f>+SALES!E12*B11</f>
        <v>2437.5</v>
      </c>
      <c r="D11" s="123">
        <f>+SALES!H12*B11</f>
        <v>7875</v>
      </c>
      <c r="E11" s="123">
        <f>+SALES!K12*B11</f>
        <v>7875</v>
      </c>
      <c r="F11" s="123">
        <f>+SALES!N12*B11</f>
        <v>7875</v>
      </c>
      <c r="G11" s="123">
        <f>+SALES!Q12*B11</f>
        <v>7875</v>
      </c>
      <c r="H11" s="123">
        <f>+SALES!T12*B11</f>
        <v>7875</v>
      </c>
      <c r="I11" s="123">
        <f>+SALES!W12*B11</f>
        <v>2437.5</v>
      </c>
      <c r="J11" s="123">
        <f>+SALES!Z12*B11</f>
        <v>2437.5</v>
      </c>
      <c r="K11" s="123">
        <f>+SALES!AC12*B11</f>
        <v>2437.5</v>
      </c>
      <c r="L11" s="123">
        <f>+SALES!AF12*B11</f>
        <v>7875</v>
      </c>
      <c r="M11" s="123">
        <f>+SALES!AI12*B11</f>
        <v>7875</v>
      </c>
      <c r="N11" s="123">
        <f>+SALES!AL12*B11</f>
        <v>7875</v>
      </c>
      <c r="O11" s="124">
        <f>SUM(C11:N11)</f>
        <v>72750</v>
      </c>
    </row>
    <row r="12" spans="1:15">
      <c r="A12" s="118" t="s">
        <v>134</v>
      </c>
      <c r="B12" s="119">
        <v>0.02</v>
      </c>
      <c r="C12" s="123">
        <f>+SALES!E12*B12</f>
        <v>325</v>
      </c>
      <c r="D12" s="123">
        <f>+SALES!H12*B12</f>
        <v>1050</v>
      </c>
      <c r="E12" s="123">
        <f>+SALES!K12*B12</f>
        <v>1050</v>
      </c>
      <c r="F12" s="123">
        <f>+SALES!N12*B12</f>
        <v>1050</v>
      </c>
      <c r="G12" s="123">
        <f>+SALES!Q12*B12</f>
        <v>1050</v>
      </c>
      <c r="H12" s="123">
        <f>+SALES!T12*B12</f>
        <v>1050</v>
      </c>
      <c r="I12" s="123">
        <f>+SALES!T12*B12</f>
        <v>1050</v>
      </c>
      <c r="J12" s="123">
        <f>+SALES!Z12*B12</f>
        <v>325</v>
      </c>
      <c r="K12" s="123">
        <f>+SALES!AC12*B12</f>
        <v>325</v>
      </c>
      <c r="L12" s="123">
        <f>+SALES!AF12*B12</f>
        <v>1050</v>
      </c>
      <c r="M12" s="123">
        <f>+SALES!AI12*B12</f>
        <v>1050</v>
      </c>
      <c r="N12" s="123">
        <f>+SALES!AL12*B12</f>
        <v>1050</v>
      </c>
      <c r="O12" s="124">
        <f>SUM(C12:N12)</f>
        <v>10425</v>
      </c>
    </row>
    <row r="13" spans="1:15">
      <c r="A13" s="118" t="s">
        <v>135</v>
      </c>
      <c r="B13" s="119">
        <v>0.02</v>
      </c>
      <c r="C13" s="123">
        <f>+SALES!E12*B13</f>
        <v>325</v>
      </c>
      <c r="D13" s="123">
        <f>+SALES!H12*B13</f>
        <v>1050</v>
      </c>
      <c r="E13" s="123">
        <f>+SALES!K12*B13</f>
        <v>1050</v>
      </c>
      <c r="F13" s="123">
        <f>+SALES!N12*B13</f>
        <v>1050</v>
      </c>
      <c r="G13" s="123">
        <f>+SALES!Q12*B13</f>
        <v>1050</v>
      </c>
      <c r="H13" s="123">
        <f>+SALES!T12*B13</f>
        <v>1050</v>
      </c>
      <c r="I13" s="123">
        <f>+SALES!T12*B13</f>
        <v>1050</v>
      </c>
      <c r="J13" s="123">
        <f>+SALES!Z12*B13</f>
        <v>325</v>
      </c>
      <c r="K13" s="123">
        <f>+SALES!AC12*B13</f>
        <v>325</v>
      </c>
      <c r="L13" s="123">
        <f>+SALES!AF12*B13</f>
        <v>1050</v>
      </c>
      <c r="M13" s="123">
        <f>+SALES!AI12*B13</f>
        <v>1050</v>
      </c>
      <c r="N13" s="123">
        <f>+SALES!AL12*B13</f>
        <v>1050</v>
      </c>
      <c r="O13" s="124">
        <f>SUM(C13:N13)</f>
        <v>10425</v>
      </c>
    </row>
    <row r="14" spans="1:15">
      <c r="A14" s="118" t="s">
        <v>136</v>
      </c>
      <c r="B14" s="119">
        <v>0.08</v>
      </c>
      <c r="C14" s="123">
        <f>+SALES!E12*B14</f>
        <v>1300</v>
      </c>
      <c r="D14" s="123">
        <f>+SALES!H12*B14</f>
        <v>4200</v>
      </c>
      <c r="E14" s="123">
        <f>+SALES!K12*B14</f>
        <v>4200</v>
      </c>
      <c r="F14" s="123">
        <f>+SALES!N12*B14</f>
        <v>4200</v>
      </c>
      <c r="G14" s="123">
        <f>+SALES!Q12*B14</f>
        <v>4200</v>
      </c>
      <c r="H14" s="123">
        <f>+SALES!T12*B14</f>
        <v>4200</v>
      </c>
      <c r="I14" s="123">
        <f>+SALES!T12*B14</f>
        <v>4200</v>
      </c>
      <c r="J14" s="123">
        <f>+SALES!Z12*B14</f>
        <v>1300</v>
      </c>
      <c r="K14" s="123">
        <f>+SALES!AC12*B14</f>
        <v>1300</v>
      </c>
      <c r="L14" s="123">
        <f>+SALES!AF12*B14</f>
        <v>4200</v>
      </c>
      <c r="M14" s="123">
        <f>+SALES!AI12*B14</f>
        <v>4200</v>
      </c>
      <c r="N14" s="123">
        <f>+SALES!AL12*B14</f>
        <v>4200</v>
      </c>
      <c r="O14" s="124">
        <f>SUM(C14:N14)</f>
        <v>41700</v>
      </c>
    </row>
    <row r="15" spans="1:15">
      <c r="A15" s="118" t="s">
        <v>137</v>
      </c>
      <c r="B15" s="119">
        <v>0.02</v>
      </c>
      <c r="C15" s="123">
        <f>+SALES!E12*B15</f>
        <v>325</v>
      </c>
      <c r="D15" s="123">
        <f>+SALES!H12*B15</f>
        <v>1050</v>
      </c>
      <c r="E15" s="123">
        <f>+SALES!K12*B15</f>
        <v>1050</v>
      </c>
      <c r="F15" s="123">
        <f>+SALES!N12*B15</f>
        <v>1050</v>
      </c>
      <c r="G15" s="123">
        <f>+SALES!Q12*B15</f>
        <v>1050</v>
      </c>
      <c r="H15" s="123">
        <f>+SALES!T12*B15</f>
        <v>1050</v>
      </c>
      <c r="I15" s="123">
        <f>+SALES!T12*B15</f>
        <v>1050</v>
      </c>
      <c r="J15" s="123">
        <f>+SALES!Z12*B15</f>
        <v>325</v>
      </c>
      <c r="K15" s="123">
        <f>+SALES!AC12*B15</f>
        <v>325</v>
      </c>
      <c r="L15" s="123">
        <f>+SALES!AF12*B15</f>
        <v>1050</v>
      </c>
      <c r="M15" s="123">
        <f>+SALES!AI12*B15</f>
        <v>1050</v>
      </c>
      <c r="N15" s="123">
        <f>+SALES!AL15*B15</f>
        <v>0</v>
      </c>
      <c r="O15" s="124">
        <f>SUM(C15:N15)</f>
        <v>9375</v>
      </c>
    </row>
    <row r="16" spans="1:15" s="24" customFormat="1">
      <c r="A16" s="125" t="s">
        <v>139</v>
      </c>
      <c r="B16" s="112">
        <f t="shared" ref="B16:O16" si="1">SUM(B11:B15)</f>
        <v>0.28999999999999998</v>
      </c>
      <c r="C16" s="113">
        <f t="shared" si="1"/>
        <v>4712.5</v>
      </c>
      <c r="D16" s="113">
        <f t="shared" si="1"/>
        <v>15225</v>
      </c>
      <c r="E16" s="113">
        <f t="shared" si="1"/>
        <v>15225</v>
      </c>
      <c r="F16" s="113">
        <f t="shared" si="1"/>
        <v>15225</v>
      </c>
      <c r="G16" s="113">
        <f t="shared" si="1"/>
        <v>15225</v>
      </c>
      <c r="H16" s="113">
        <f t="shared" si="1"/>
        <v>15225</v>
      </c>
      <c r="I16" s="113">
        <f t="shared" si="1"/>
        <v>9787.5</v>
      </c>
      <c r="J16" s="113">
        <f t="shared" si="1"/>
        <v>4712.5</v>
      </c>
      <c r="K16" s="113">
        <f t="shared" si="1"/>
        <v>4712.5</v>
      </c>
      <c r="L16" s="113">
        <f t="shared" si="1"/>
        <v>15225</v>
      </c>
      <c r="M16" s="113">
        <f t="shared" si="1"/>
        <v>15225</v>
      </c>
      <c r="N16" s="113">
        <f t="shared" si="1"/>
        <v>14175</v>
      </c>
      <c r="O16" s="126">
        <f t="shared" si="1"/>
        <v>144675</v>
      </c>
    </row>
    <row r="17" spans="1:43" ht="15">
      <c r="A17" s="122" t="s">
        <v>4</v>
      </c>
      <c r="B17" s="119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4"/>
    </row>
    <row r="18" spans="1:43">
      <c r="A18" s="118" t="s">
        <v>133</v>
      </c>
      <c r="B18" s="119">
        <v>0.2</v>
      </c>
      <c r="C18" s="123">
        <f>+SALES!E17*COS!B18</f>
        <v>12375</v>
      </c>
      <c r="D18" s="123">
        <f>+SALES!H17*COS!B18</f>
        <v>13650</v>
      </c>
      <c r="E18" s="123">
        <f>+SALES!K17*COS!B18</f>
        <v>15775</v>
      </c>
      <c r="F18" s="123">
        <f>+SALES!N17*COS!B18</f>
        <v>15775</v>
      </c>
      <c r="G18" s="123">
        <f>+SALES!Q17*COS!B18</f>
        <v>13650</v>
      </c>
      <c r="H18" s="123">
        <f>+SALES!T17*COS!B18</f>
        <v>15775</v>
      </c>
      <c r="I18" s="123">
        <f>+SALES!W17*COS!B18</f>
        <v>7250</v>
      </c>
      <c r="J18" s="123">
        <f>+SALES!Z17*COS!B18</f>
        <v>4250</v>
      </c>
      <c r="K18" s="123">
        <f>+SALES!AC17*COS!B18</f>
        <v>8525</v>
      </c>
      <c r="L18" s="123">
        <f>+SALES!AF17*COS!B18</f>
        <v>13650</v>
      </c>
      <c r="M18" s="123">
        <f>+SALES!AI17*COS!B18</f>
        <v>13650</v>
      </c>
      <c r="N18" s="123">
        <f>+SALES!AL17*COS!B18</f>
        <v>6375</v>
      </c>
      <c r="O18" s="124">
        <f>SUM(C18:N18)</f>
        <v>140700</v>
      </c>
    </row>
    <row r="19" spans="1:43">
      <c r="A19" s="118" t="s">
        <v>134</v>
      </c>
      <c r="B19" s="119">
        <v>0.02</v>
      </c>
      <c r="C19" s="123">
        <f>+SALES!E17*COS!B19</f>
        <v>1237.5</v>
      </c>
      <c r="D19" s="123">
        <f>+SALES!H17*COS!B19</f>
        <v>1365</v>
      </c>
      <c r="E19" s="123">
        <f>+SALES!K17*COS!B19</f>
        <v>1577.5</v>
      </c>
      <c r="F19" s="123">
        <f>+SALES!N17*COS!B19</f>
        <v>1577.5</v>
      </c>
      <c r="G19" s="123">
        <f>+SALES!Q17*COS!B19</f>
        <v>1365</v>
      </c>
      <c r="H19" s="123">
        <f>+SALES!T17*COS!B19</f>
        <v>1577.5</v>
      </c>
      <c r="I19" s="123">
        <f>+SALES!W17*COS!B19</f>
        <v>725</v>
      </c>
      <c r="J19" s="123">
        <f>+SALES!Z17*COS!B19</f>
        <v>425</v>
      </c>
      <c r="K19" s="123">
        <f>+SALES!AC17*COS!B19</f>
        <v>852.5</v>
      </c>
      <c r="L19" s="123">
        <f>+SALES!AF17*COS!B19</f>
        <v>1365</v>
      </c>
      <c r="M19" s="123">
        <f>+SALES!AI17*COS!B19</f>
        <v>1365</v>
      </c>
      <c r="N19" s="123">
        <f>+SALES!AL17*COS!B19</f>
        <v>637.5</v>
      </c>
      <c r="O19" s="124">
        <f>SUM(C19:N19)</f>
        <v>14070</v>
      </c>
    </row>
    <row r="20" spans="1:43">
      <c r="A20" s="118" t="s">
        <v>135</v>
      </c>
      <c r="B20" s="119">
        <v>0.02</v>
      </c>
      <c r="C20" s="123">
        <f>+SALES!E17*COS!B20</f>
        <v>1237.5</v>
      </c>
      <c r="D20" s="123">
        <f>+SALES!H17*COS!B20</f>
        <v>1365</v>
      </c>
      <c r="E20" s="123">
        <f>+SALES!K17*COS!B20</f>
        <v>1577.5</v>
      </c>
      <c r="F20" s="123">
        <f>+SALES!N17*COS!B20</f>
        <v>1577.5</v>
      </c>
      <c r="G20" s="123">
        <f>+SALES!Q17*COS!B20</f>
        <v>1365</v>
      </c>
      <c r="H20" s="123">
        <f>+SALES!T17*COS!B20</f>
        <v>1577.5</v>
      </c>
      <c r="I20" s="123">
        <f>+SALES!W17*COS!B20</f>
        <v>725</v>
      </c>
      <c r="J20" s="123">
        <f>+SALES!Z17*COS!B20</f>
        <v>425</v>
      </c>
      <c r="K20" s="123">
        <f>+SALES!AC17*COS!B20</f>
        <v>852.5</v>
      </c>
      <c r="L20" s="123">
        <f>+SALES!AF17*COS!B20</f>
        <v>1365</v>
      </c>
      <c r="M20" s="123">
        <f>+SALES!AI17*COS!B20</f>
        <v>1365</v>
      </c>
      <c r="N20" s="123">
        <f>+SALES!AL17*COS!B20</f>
        <v>637.5</v>
      </c>
      <c r="O20" s="124">
        <f>SUM(C20:N20)</f>
        <v>14070</v>
      </c>
    </row>
    <row r="21" spans="1:43">
      <c r="A21" s="118" t="s">
        <v>136</v>
      </c>
      <c r="B21" s="119">
        <v>0.08</v>
      </c>
      <c r="C21" s="123">
        <f>+SALES!E17*COS!B21</f>
        <v>4950</v>
      </c>
      <c r="D21" s="123">
        <f>+SALES!H17*COS!B21</f>
        <v>5460</v>
      </c>
      <c r="E21" s="123">
        <f>+SALES!K17*COS!B21</f>
        <v>6310</v>
      </c>
      <c r="F21" s="123">
        <f>+SALES!N17*COS!B21</f>
        <v>6310</v>
      </c>
      <c r="G21" s="123">
        <f>+SALES!Q17*COS!B21</f>
        <v>5460</v>
      </c>
      <c r="H21" s="123">
        <f>+SALES!T17*COS!B21</f>
        <v>6310</v>
      </c>
      <c r="I21" s="123">
        <f>+SALES!W17*COS!B21</f>
        <v>2900</v>
      </c>
      <c r="J21" s="123">
        <f>+SALES!Z17*COS!B21</f>
        <v>1700</v>
      </c>
      <c r="K21" s="123">
        <f>+SALES!AC17*COS!B21</f>
        <v>3410</v>
      </c>
      <c r="L21" s="123">
        <f>+SALES!AF17*COS!B21</f>
        <v>5460</v>
      </c>
      <c r="M21" s="123">
        <f>+SALES!AI17*COS!B21</f>
        <v>5460</v>
      </c>
      <c r="N21" s="123">
        <f>+SALES!AL17*COS!B21</f>
        <v>2550</v>
      </c>
      <c r="O21" s="124">
        <f>SUM(C21:N21)</f>
        <v>56280</v>
      </c>
    </row>
    <row r="22" spans="1:43">
      <c r="A22" s="118" t="s">
        <v>137</v>
      </c>
      <c r="B22" s="119">
        <v>0.02</v>
      </c>
      <c r="C22" s="123">
        <f>+SALES!E17*COS!B22</f>
        <v>1237.5</v>
      </c>
      <c r="D22" s="123">
        <f>+SALES!H17*COS!B22</f>
        <v>1365</v>
      </c>
      <c r="E22" s="123">
        <f>+SALES!K17*COS!B22</f>
        <v>1577.5</v>
      </c>
      <c r="F22" s="123">
        <f>+SALES!N17*COS!B22</f>
        <v>1577.5</v>
      </c>
      <c r="G22" s="123">
        <f>+SALES!Q19*COS!B22</f>
        <v>72</v>
      </c>
      <c r="H22" s="123">
        <f>+SALES!T17*COS!B22</f>
        <v>1577.5</v>
      </c>
      <c r="I22" s="123">
        <f>+SALES!W17*COS!B22</f>
        <v>725</v>
      </c>
      <c r="J22" s="123">
        <f>+SALES!Z17*COS!B22</f>
        <v>425</v>
      </c>
      <c r="K22" s="123">
        <f>+SALES!AC17*COS!B22</f>
        <v>852.5</v>
      </c>
      <c r="L22" s="123">
        <f>+SALES!AF17*COS!B22</f>
        <v>1365</v>
      </c>
      <c r="M22" s="123">
        <f>+SALES!AI17*COS!B22</f>
        <v>1365</v>
      </c>
      <c r="N22" s="123">
        <f>+SALES!AL17*COS!B22</f>
        <v>637.5</v>
      </c>
      <c r="O22" s="124">
        <f>SUM(C22:N22)</f>
        <v>12777</v>
      </c>
    </row>
    <row r="23" spans="1:43" s="24" customFormat="1">
      <c r="A23" s="125" t="s">
        <v>692</v>
      </c>
      <c r="B23" s="112">
        <f t="shared" ref="B23:O23" si="2">SUM(B18:B22)</f>
        <v>0.34</v>
      </c>
      <c r="C23" s="113">
        <f t="shared" si="2"/>
        <v>21037.5</v>
      </c>
      <c r="D23" s="113">
        <f t="shared" si="2"/>
        <v>23205</v>
      </c>
      <c r="E23" s="113">
        <f t="shared" si="2"/>
        <v>26817.5</v>
      </c>
      <c r="F23" s="113">
        <f t="shared" si="2"/>
        <v>26817.5</v>
      </c>
      <c r="G23" s="113">
        <f t="shared" si="2"/>
        <v>21912</v>
      </c>
      <c r="H23" s="113">
        <f t="shared" si="2"/>
        <v>26817.5</v>
      </c>
      <c r="I23" s="113">
        <f t="shared" si="2"/>
        <v>12325</v>
      </c>
      <c r="J23" s="113">
        <f t="shared" si="2"/>
        <v>7225</v>
      </c>
      <c r="K23" s="113">
        <f t="shared" si="2"/>
        <v>14492.5</v>
      </c>
      <c r="L23" s="113">
        <f t="shared" si="2"/>
        <v>23205</v>
      </c>
      <c r="M23" s="113">
        <f t="shared" si="2"/>
        <v>23205</v>
      </c>
      <c r="N23" s="113">
        <f t="shared" si="2"/>
        <v>10837.5</v>
      </c>
      <c r="O23" s="126">
        <f t="shared" si="2"/>
        <v>237897</v>
      </c>
    </row>
    <row r="24" spans="1:43" s="21" customFormat="1" ht="15">
      <c r="A24" s="122" t="s">
        <v>697</v>
      </c>
      <c r="B24" s="119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21" customFormat="1">
      <c r="A25" s="118" t="s">
        <v>134</v>
      </c>
      <c r="B25" s="119">
        <v>0.02</v>
      </c>
      <c r="C25" s="123">
        <f>+SALES!E20*B25</f>
        <v>72</v>
      </c>
      <c r="D25" s="123">
        <f>+SALES!H20*B25</f>
        <v>72</v>
      </c>
      <c r="E25" s="123">
        <f>+SALES!K20*B25</f>
        <v>72</v>
      </c>
      <c r="F25" s="123">
        <f>+SALES!N20*B25</f>
        <v>72</v>
      </c>
      <c r="G25" s="123">
        <f>+SALES!Q20*B25</f>
        <v>72</v>
      </c>
      <c r="H25" s="123">
        <f>+SALES!T20*B25</f>
        <v>72</v>
      </c>
      <c r="I25" s="123">
        <f>+SALES!W20*B25</f>
        <v>0</v>
      </c>
      <c r="J25" s="123">
        <f>+SALES!Z20*B25</f>
        <v>0</v>
      </c>
      <c r="K25" s="123">
        <f>+SALES!AC20*B25</f>
        <v>0</v>
      </c>
      <c r="L25" s="123">
        <f>+SALES!AF20*B25</f>
        <v>72</v>
      </c>
      <c r="M25" s="123">
        <f>+SALES!AI20*B25</f>
        <v>72</v>
      </c>
      <c r="N25" s="123">
        <f>+SALES!AL20*B25</f>
        <v>72</v>
      </c>
      <c r="O25" s="124">
        <f>SUM(C25:N25)</f>
        <v>648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s="21" customFormat="1">
      <c r="A26" s="118" t="s">
        <v>135</v>
      </c>
      <c r="B26" s="119">
        <v>0.02</v>
      </c>
      <c r="C26" s="123">
        <f>+SALES!E20*B26</f>
        <v>72</v>
      </c>
      <c r="D26" s="123">
        <f>+SALES!H20*B26</f>
        <v>72</v>
      </c>
      <c r="E26" s="123">
        <f>+SALES!K20*B26</f>
        <v>72</v>
      </c>
      <c r="F26" s="123">
        <f>+SALES!N20*B26</f>
        <v>72</v>
      </c>
      <c r="G26" s="123">
        <f>+SALES!Q20*B26</f>
        <v>72</v>
      </c>
      <c r="H26" s="123">
        <f>+SALES!T20*B26</f>
        <v>72</v>
      </c>
      <c r="I26" s="123">
        <f>+SALES!W20*B26</f>
        <v>0</v>
      </c>
      <c r="J26" s="123">
        <f>+SALES!Z20*B26</f>
        <v>0</v>
      </c>
      <c r="K26" s="123">
        <f>+SALES!AC20*B26</f>
        <v>0</v>
      </c>
      <c r="L26" s="123">
        <f>+SALES!AF20*B26</f>
        <v>72</v>
      </c>
      <c r="M26" s="123">
        <f>+SALES!AI20*B26</f>
        <v>72</v>
      </c>
      <c r="N26" s="123">
        <f>+SALES!AL20*B26</f>
        <v>72</v>
      </c>
      <c r="O26" s="124">
        <f>SUM(C26:N26)</f>
        <v>648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s="21" customFormat="1">
      <c r="A27" s="118" t="s">
        <v>136</v>
      </c>
      <c r="B27" s="119">
        <v>0.08</v>
      </c>
      <c r="C27" s="123">
        <f>+SALES!E20*B27</f>
        <v>288</v>
      </c>
      <c r="D27" s="123">
        <f>+SALES!H20*B27</f>
        <v>288</v>
      </c>
      <c r="E27" s="123">
        <f>+SALES!K20*B27</f>
        <v>288</v>
      </c>
      <c r="F27" s="123">
        <f>+SALES!N20*B27</f>
        <v>288</v>
      </c>
      <c r="G27" s="123">
        <f>+SALES!Q20*B27</f>
        <v>288</v>
      </c>
      <c r="H27" s="123">
        <f>+SALES!T20*B27</f>
        <v>288</v>
      </c>
      <c r="I27" s="123">
        <f>+SALES!W20*B27</f>
        <v>0</v>
      </c>
      <c r="J27" s="123">
        <f>+SALES!Z20*B27</f>
        <v>0</v>
      </c>
      <c r="K27" s="123">
        <f>+SALES!AC20*B27</f>
        <v>0</v>
      </c>
      <c r="L27" s="123">
        <f>+SALES!AF20*B27</f>
        <v>288</v>
      </c>
      <c r="M27" s="123">
        <f>+SALES!AI20*B27</f>
        <v>288</v>
      </c>
      <c r="N27" s="123">
        <f>+SALES!AL20*B27</f>
        <v>288</v>
      </c>
      <c r="O27" s="124">
        <f>SUM(C27:N27)</f>
        <v>2592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s="21" customFormat="1">
      <c r="A28" s="118" t="s">
        <v>137</v>
      </c>
      <c r="B28" s="119">
        <v>0.01</v>
      </c>
      <c r="C28" s="123">
        <f>+SALES!E20*B28</f>
        <v>36</v>
      </c>
      <c r="D28" s="123">
        <f>+SALES!H20*B28</f>
        <v>36</v>
      </c>
      <c r="E28" s="123">
        <f>+SALES!K20*B28</f>
        <v>36</v>
      </c>
      <c r="F28" s="123">
        <f>+SALES!N20*B28</f>
        <v>36</v>
      </c>
      <c r="G28" s="123">
        <f>+SALES!Q20*B28</f>
        <v>36</v>
      </c>
      <c r="H28" s="123">
        <f>+SALES!T20*B28</f>
        <v>36</v>
      </c>
      <c r="I28" s="123">
        <f>+SALES!W20*B28</f>
        <v>0</v>
      </c>
      <c r="J28" s="123">
        <f>+SALES!Z20*B28</f>
        <v>0</v>
      </c>
      <c r="K28" s="123">
        <f>+SALES!AC20*B28</f>
        <v>0</v>
      </c>
      <c r="L28" s="123">
        <f>+SALES!AF20*B28</f>
        <v>36</v>
      </c>
      <c r="M28" s="123">
        <f>+SALES!AI20*B28</f>
        <v>36</v>
      </c>
      <c r="N28" s="123">
        <f>+SALES!AL20*B28</f>
        <v>36</v>
      </c>
      <c r="O28" s="124">
        <f>SUM(C28:N28)</f>
        <v>324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s="21" customFormat="1">
      <c r="A29" s="125" t="s">
        <v>140</v>
      </c>
      <c r="B29" s="112">
        <f>SUM(B25:B28)</f>
        <v>0.13</v>
      </c>
      <c r="C29" s="113">
        <f>SUM(C25:C28)</f>
        <v>468</v>
      </c>
      <c r="D29" s="113">
        <f t="shared" ref="D29:O29" si="3">SUM(D25:D28)</f>
        <v>468</v>
      </c>
      <c r="E29" s="113">
        <f t="shared" si="3"/>
        <v>468</v>
      </c>
      <c r="F29" s="113">
        <f t="shared" si="3"/>
        <v>468</v>
      </c>
      <c r="G29" s="113">
        <f t="shared" si="3"/>
        <v>468</v>
      </c>
      <c r="H29" s="113">
        <f t="shared" si="3"/>
        <v>468</v>
      </c>
      <c r="I29" s="113">
        <f t="shared" si="3"/>
        <v>0</v>
      </c>
      <c r="J29" s="113">
        <f t="shared" si="3"/>
        <v>0</v>
      </c>
      <c r="K29" s="113">
        <f t="shared" si="3"/>
        <v>0</v>
      </c>
      <c r="L29" s="113">
        <f t="shared" si="3"/>
        <v>468</v>
      </c>
      <c r="M29" s="113">
        <f t="shared" si="3"/>
        <v>468</v>
      </c>
      <c r="N29" s="113">
        <f t="shared" si="3"/>
        <v>468</v>
      </c>
      <c r="O29" s="126">
        <f t="shared" si="3"/>
        <v>4212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</row>
    <row r="30" spans="1:43" ht="15">
      <c r="A30" s="122" t="s">
        <v>683</v>
      </c>
      <c r="B30" s="119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4"/>
    </row>
    <row r="31" spans="1:43" ht="14.25" customHeight="1">
      <c r="A31" s="448" t="s">
        <v>133</v>
      </c>
      <c r="B31" s="119">
        <v>0.14000000000000001</v>
      </c>
      <c r="C31" s="123">
        <f>+SALES!E23*B31</f>
        <v>2100</v>
      </c>
      <c r="D31" s="123">
        <f>+SALES!H23*B31</f>
        <v>2100</v>
      </c>
      <c r="E31" s="123">
        <f>+SALES!K23*B31</f>
        <v>2100</v>
      </c>
      <c r="F31" s="123">
        <f>+SALES!N23*B31</f>
        <v>2100</v>
      </c>
      <c r="G31" s="123">
        <f>+SALES!Q23*B31</f>
        <v>2100</v>
      </c>
      <c r="H31" s="123">
        <f>+SALES!T23*B31</f>
        <v>2100</v>
      </c>
      <c r="I31" s="123">
        <f>+SALES!W23*B31</f>
        <v>0</v>
      </c>
      <c r="J31" s="123">
        <f>+SALES!Z23*B31</f>
        <v>0</v>
      </c>
      <c r="K31" s="123">
        <f>+SALES!AC23*B31</f>
        <v>1260.0000000000002</v>
      </c>
      <c r="L31" s="123">
        <f>+SALES!AF23*B31</f>
        <v>2100</v>
      </c>
      <c r="M31" s="123">
        <f>+SALES!AI23*B31</f>
        <v>2100</v>
      </c>
      <c r="N31" s="123">
        <f>+SALES!AL23*B31</f>
        <v>2100</v>
      </c>
      <c r="O31" s="124">
        <f>SUM(C31:N31)</f>
        <v>20160</v>
      </c>
    </row>
    <row r="32" spans="1:43">
      <c r="A32" s="118" t="s">
        <v>134</v>
      </c>
      <c r="B32" s="119">
        <v>0.02</v>
      </c>
      <c r="C32" s="123">
        <f>+SALES!E23*B32</f>
        <v>300</v>
      </c>
      <c r="D32" s="123">
        <f>+SALES!H23*B32</f>
        <v>300</v>
      </c>
      <c r="E32" s="123">
        <f>+SALES!K23*B32</f>
        <v>300</v>
      </c>
      <c r="F32" s="123">
        <f>+SALES!N23*B32</f>
        <v>300</v>
      </c>
      <c r="G32" s="123">
        <f>+SALES!Q23*B32</f>
        <v>300</v>
      </c>
      <c r="H32" s="123">
        <f>+SALES!T23*B32</f>
        <v>300</v>
      </c>
      <c r="I32" s="123">
        <f>+SALES!W23*B32</f>
        <v>0</v>
      </c>
      <c r="J32" s="123">
        <f>+SALES!Z23*B32</f>
        <v>0</v>
      </c>
      <c r="K32" s="123">
        <f>+SALES!AC23*B32</f>
        <v>180</v>
      </c>
      <c r="L32" s="123">
        <f>+SALES!AF23*B32</f>
        <v>300</v>
      </c>
      <c r="M32" s="123">
        <f>+SALES!AI23*B32</f>
        <v>300</v>
      </c>
      <c r="N32" s="123">
        <f>+SALES!AL23*B32</f>
        <v>300</v>
      </c>
      <c r="O32" s="124">
        <f>SUM(C32:N32)</f>
        <v>2880</v>
      </c>
    </row>
    <row r="33" spans="1:85">
      <c r="A33" s="118" t="s">
        <v>135</v>
      </c>
      <c r="B33" s="119">
        <v>0.02</v>
      </c>
      <c r="C33" s="123">
        <f>+SALES!E23*B33</f>
        <v>300</v>
      </c>
      <c r="D33" s="123">
        <f>+SALES!H23*B33</f>
        <v>300</v>
      </c>
      <c r="E33" s="123">
        <f>+SALES!K23*B33</f>
        <v>300</v>
      </c>
      <c r="F33" s="123">
        <f>+SALES!N23*B33</f>
        <v>300</v>
      </c>
      <c r="G33" s="123">
        <f>+SALES!Q23*B33</f>
        <v>300</v>
      </c>
      <c r="H33" s="123">
        <f>+SALES!T23*B33</f>
        <v>300</v>
      </c>
      <c r="I33" s="123">
        <f>+SALES!W23*B33</f>
        <v>0</v>
      </c>
      <c r="J33" s="123">
        <f>+SALES!Z23*B33</f>
        <v>0</v>
      </c>
      <c r="K33" s="123">
        <f>+SALES!AC23*B33</f>
        <v>180</v>
      </c>
      <c r="L33" s="123">
        <f>+SALES!AF23*B33</f>
        <v>300</v>
      </c>
      <c r="M33" s="123">
        <f>+SALES!AI23*B33</f>
        <v>300</v>
      </c>
      <c r="N33" s="123">
        <f>+SALES!AL23*B33</f>
        <v>300</v>
      </c>
      <c r="O33" s="124">
        <f>SUM(C33:N33)</f>
        <v>2880</v>
      </c>
    </row>
    <row r="34" spans="1:85">
      <c r="A34" s="118" t="s">
        <v>136</v>
      </c>
      <c r="B34" s="119">
        <v>0.08</v>
      </c>
      <c r="C34" s="123">
        <f>+SALES!E23*B34</f>
        <v>1200</v>
      </c>
      <c r="D34" s="123">
        <f>+SALES!H23*B34</f>
        <v>1200</v>
      </c>
      <c r="E34" s="123">
        <f>+SALES!K23*B34</f>
        <v>1200</v>
      </c>
      <c r="F34" s="123">
        <f>+SALES!N23*B34</f>
        <v>1200</v>
      </c>
      <c r="G34" s="123">
        <f>+SALES!Q23*B34</f>
        <v>1200</v>
      </c>
      <c r="H34" s="123">
        <f>+SALES!T23*B34</f>
        <v>1200</v>
      </c>
      <c r="I34" s="123">
        <f>+SALES!W23*B34</f>
        <v>0</v>
      </c>
      <c r="J34" s="123">
        <f>+SALES!Z23*B34</f>
        <v>0</v>
      </c>
      <c r="K34" s="123">
        <f>+SALES!AC23*B34</f>
        <v>720</v>
      </c>
      <c r="L34" s="123">
        <f>+SALES!AF23*B34</f>
        <v>1200</v>
      </c>
      <c r="M34" s="123">
        <f>+SALES!AI23*B34</f>
        <v>1200</v>
      </c>
      <c r="N34" s="123">
        <f>+SALES!AL23*B34</f>
        <v>1200</v>
      </c>
      <c r="O34" s="124">
        <f>SUM(C34:N34)</f>
        <v>11520</v>
      </c>
    </row>
    <row r="35" spans="1:85">
      <c r="A35" s="118" t="s">
        <v>137</v>
      </c>
      <c r="B35" s="119">
        <v>0.01</v>
      </c>
      <c r="C35" s="123">
        <f>+SALES!E23*B35</f>
        <v>150</v>
      </c>
      <c r="D35" s="123">
        <f>+SALES!H23*B35</f>
        <v>150</v>
      </c>
      <c r="E35" s="123">
        <f>+SALES!K23*B35</f>
        <v>150</v>
      </c>
      <c r="F35" s="123">
        <f>+SALES!N23*B35</f>
        <v>150</v>
      </c>
      <c r="G35" s="123">
        <f>+SALES!Q23*B35</f>
        <v>150</v>
      </c>
      <c r="H35" s="123">
        <f>+SALES!T23*B35</f>
        <v>150</v>
      </c>
      <c r="I35" s="123">
        <f>+SALES!W23*B35</f>
        <v>0</v>
      </c>
      <c r="J35" s="123">
        <f>+SALES!Z23*B35</f>
        <v>0</v>
      </c>
      <c r="K35" s="123">
        <f>+SALES!AC23*B35</f>
        <v>90</v>
      </c>
      <c r="L35" s="123">
        <f>+SALES!AF23*B35</f>
        <v>150</v>
      </c>
      <c r="M35" s="123">
        <f>+SALES!AI23*B35</f>
        <v>150</v>
      </c>
      <c r="N35" s="123">
        <f>+SALES!AL23*B35</f>
        <v>150</v>
      </c>
      <c r="O35" s="124">
        <f>SUM(C35:N35)</f>
        <v>1440</v>
      </c>
    </row>
    <row r="36" spans="1:85" s="24" customFormat="1">
      <c r="A36" s="125" t="s">
        <v>140</v>
      </c>
      <c r="B36" s="112">
        <f>SUM(B31:B35)</f>
        <v>0.27</v>
      </c>
      <c r="C36" s="113">
        <f>SUM(C31:C35)</f>
        <v>4050</v>
      </c>
      <c r="D36" s="113">
        <f t="shared" ref="D36:O36" si="4">SUM(D31:D35)</f>
        <v>4050</v>
      </c>
      <c r="E36" s="113">
        <f t="shared" si="4"/>
        <v>4050</v>
      </c>
      <c r="F36" s="113">
        <f t="shared" si="4"/>
        <v>4050</v>
      </c>
      <c r="G36" s="113">
        <f t="shared" si="4"/>
        <v>4050</v>
      </c>
      <c r="H36" s="113">
        <f t="shared" si="4"/>
        <v>4050</v>
      </c>
      <c r="I36" s="113">
        <f t="shared" si="4"/>
        <v>0</v>
      </c>
      <c r="J36" s="113">
        <f t="shared" si="4"/>
        <v>0</v>
      </c>
      <c r="K36" s="113">
        <f t="shared" si="4"/>
        <v>2430</v>
      </c>
      <c r="L36" s="113">
        <f t="shared" si="4"/>
        <v>4050</v>
      </c>
      <c r="M36" s="113">
        <f t="shared" si="4"/>
        <v>4050</v>
      </c>
      <c r="N36" s="113">
        <f t="shared" si="4"/>
        <v>4050</v>
      </c>
      <c r="O36" s="113">
        <f t="shared" si="4"/>
        <v>38880</v>
      </c>
    </row>
    <row r="37" spans="1:85" ht="15">
      <c r="A37" s="122" t="s">
        <v>128</v>
      </c>
      <c r="B37" s="119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4"/>
    </row>
    <row r="38" spans="1:85">
      <c r="A38" s="118" t="s">
        <v>134</v>
      </c>
      <c r="B38" s="119">
        <v>0.02</v>
      </c>
      <c r="C38" s="123">
        <f>+SALES!E26*B38</f>
        <v>150</v>
      </c>
      <c r="D38" s="123">
        <f>+SALES!H26*B38</f>
        <v>150</v>
      </c>
      <c r="E38" s="123">
        <f>+SALES!K26*B38</f>
        <v>150</v>
      </c>
      <c r="F38" s="123">
        <f>+SALES!N26*B38</f>
        <v>150</v>
      </c>
      <c r="G38" s="123">
        <f>+SALES!Q26*B38</f>
        <v>150</v>
      </c>
      <c r="H38" s="123">
        <f>+SALES!T26*B38</f>
        <v>150</v>
      </c>
      <c r="I38" s="123">
        <f>+SALES!W26*B38</f>
        <v>0</v>
      </c>
      <c r="J38" s="123">
        <f>+SALES!Z26*B38</f>
        <v>0</v>
      </c>
      <c r="K38" s="123">
        <f>+SALES!AC26*B38</f>
        <v>0</v>
      </c>
      <c r="L38" s="123">
        <f>+SALES!AF26*B38</f>
        <v>150</v>
      </c>
      <c r="M38" s="123">
        <f>+SALES!AI26*B38</f>
        <v>150</v>
      </c>
      <c r="N38" s="123">
        <f>+SALES!AL26*B38</f>
        <v>0</v>
      </c>
      <c r="O38" s="124">
        <f>SUM(C38:N38)</f>
        <v>1200</v>
      </c>
    </row>
    <row r="39" spans="1:85">
      <c r="A39" s="118" t="s">
        <v>135</v>
      </c>
      <c r="B39" s="119">
        <v>0.02</v>
      </c>
      <c r="C39" s="123">
        <f>+SALES!E26*B39</f>
        <v>150</v>
      </c>
      <c r="D39" s="123">
        <f>+SALES!H26*B39</f>
        <v>150</v>
      </c>
      <c r="E39" s="123">
        <f>+SALES!K26*B39</f>
        <v>150</v>
      </c>
      <c r="F39" s="123">
        <f>+SALES!N26*B39</f>
        <v>150</v>
      </c>
      <c r="G39" s="123">
        <f>+SALES!Q26*B39</f>
        <v>150</v>
      </c>
      <c r="H39" s="123">
        <f>+SALES!T26*B39</f>
        <v>150</v>
      </c>
      <c r="I39" s="123">
        <f>+SALES!W26*B39</f>
        <v>0</v>
      </c>
      <c r="J39" s="123">
        <f>+SALES!Z26*B39</f>
        <v>0</v>
      </c>
      <c r="K39" s="123">
        <f>+SALES!AC26*B39</f>
        <v>0</v>
      </c>
      <c r="L39" s="123">
        <f>+SALES!AF26*B39</f>
        <v>150</v>
      </c>
      <c r="M39" s="123">
        <f>+SALES!AI26*B39</f>
        <v>150</v>
      </c>
      <c r="N39" s="123">
        <f>+SALES!AL26*B39</f>
        <v>0</v>
      </c>
      <c r="O39" s="124">
        <f>SUM(C39:N39)</f>
        <v>1200</v>
      </c>
    </row>
    <row r="40" spans="1:85">
      <c r="A40" s="118" t="s">
        <v>136</v>
      </c>
      <c r="B40" s="119">
        <v>0.08</v>
      </c>
      <c r="C40" s="123">
        <f>+SALES!E26*B40</f>
        <v>600</v>
      </c>
      <c r="D40" s="123">
        <f>+SALES!H26*B40</f>
        <v>600</v>
      </c>
      <c r="E40" s="123">
        <f>+SALES!K26*B40</f>
        <v>600</v>
      </c>
      <c r="F40" s="123">
        <f>+SALES!N26*B40</f>
        <v>600</v>
      </c>
      <c r="G40" s="123">
        <f>+SALES!Q26*B40</f>
        <v>600</v>
      </c>
      <c r="H40" s="123">
        <f>+SALES!T26*B40</f>
        <v>600</v>
      </c>
      <c r="I40" s="123">
        <f>+SALES!W26*B40</f>
        <v>0</v>
      </c>
      <c r="J40" s="123">
        <f>+SALES!Z26*B40</f>
        <v>0</v>
      </c>
      <c r="K40" s="123">
        <f>+SALES!AC26*B40</f>
        <v>0</v>
      </c>
      <c r="L40" s="123">
        <f>+SALES!AF26*B40</f>
        <v>600</v>
      </c>
      <c r="M40" s="123">
        <f>+SALES!AI26*B40</f>
        <v>600</v>
      </c>
      <c r="N40" s="123">
        <f>+SALES!AL26*B40</f>
        <v>0</v>
      </c>
      <c r="O40" s="124">
        <f>SUM(C40:N40)</f>
        <v>4800</v>
      </c>
    </row>
    <row r="41" spans="1:85">
      <c r="A41" s="118" t="s">
        <v>137</v>
      </c>
      <c r="B41" s="119">
        <v>0.01</v>
      </c>
      <c r="C41" s="123">
        <f>+SALES!E26*B41</f>
        <v>75</v>
      </c>
      <c r="D41" s="123">
        <f>+SALES!H26*B41</f>
        <v>75</v>
      </c>
      <c r="E41" s="123">
        <f>+SALES!K26*B41</f>
        <v>75</v>
      </c>
      <c r="F41" s="123">
        <f>+SALES!N26*B41</f>
        <v>75</v>
      </c>
      <c r="G41" s="123">
        <f>+SALES!Q26*B41</f>
        <v>75</v>
      </c>
      <c r="H41" s="123">
        <f>+SALES!T26*B41</f>
        <v>75</v>
      </c>
      <c r="I41" s="123">
        <f>+SALES!W26*B41</f>
        <v>0</v>
      </c>
      <c r="J41" s="123">
        <f>+SALES!Z26*B41</f>
        <v>0</v>
      </c>
      <c r="K41" s="123">
        <f>+SALES!AC26*B41</f>
        <v>0</v>
      </c>
      <c r="L41" s="123">
        <f>+SALES!AF26*B41</f>
        <v>75</v>
      </c>
      <c r="M41" s="123">
        <f>+SALES!AI26*B41</f>
        <v>75</v>
      </c>
      <c r="N41" s="123">
        <f>+SALES!AL26*B41</f>
        <v>0</v>
      </c>
      <c r="O41" s="124">
        <f>SUM(C41:N41)</f>
        <v>600</v>
      </c>
    </row>
    <row r="42" spans="1:85" s="24" customFormat="1">
      <c r="A42" s="125" t="s">
        <v>141</v>
      </c>
      <c r="B42" s="112">
        <f>SUM(B38:B41)</f>
        <v>0.13</v>
      </c>
      <c r="C42" s="113">
        <f>SUM(C38:C41)</f>
        <v>975</v>
      </c>
      <c r="D42" s="113">
        <f t="shared" ref="D42:O42" si="5">SUM(D38:D41)</f>
        <v>975</v>
      </c>
      <c r="E42" s="113">
        <f t="shared" si="5"/>
        <v>975</v>
      </c>
      <c r="F42" s="113">
        <f t="shared" si="5"/>
        <v>975</v>
      </c>
      <c r="G42" s="113">
        <f t="shared" si="5"/>
        <v>975</v>
      </c>
      <c r="H42" s="113">
        <f t="shared" si="5"/>
        <v>975</v>
      </c>
      <c r="I42" s="113">
        <f t="shared" si="5"/>
        <v>0</v>
      </c>
      <c r="J42" s="113">
        <f t="shared" si="5"/>
        <v>0</v>
      </c>
      <c r="K42" s="113">
        <f t="shared" si="5"/>
        <v>0</v>
      </c>
      <c r="L42" s="113">
        <f t="shared" si="5"/>
        <v>975</v>
      </c>
      <c r="M42" s="113">
        <f t="shared" si="5"/>
        <v>975</v>
      </c>
      <c r="N42" s="113">
        <f t="shared" si="5"/>
        <v>0</v>
      </c>
      <c r="O42" s="126">
        <f t="shared" si="5"/>
        <v>7800</v>
      </c>
    </row>
    <row r="43" spans="1:85" ht="15">
      <c r="A43" s="122" t="s">
        <v>632</v>
      </c>
      <c r="B43" s="119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4"/>
    </row>
    <row r="44" spans="1:85">
      <c r="A44" s="118" t="s">
        <v>693</v>
      </c>
      <c r="B44" s="119">
        <v>0.65</v>
      </c>
      <c r="C44" s="123">
        <f>+SALES!E29*B44</f>
        <v>7800</v>
      </c>
      <c r="D44" s="123">
        <f>+SALES!H29*B44</f>
        <v>11700</v>
      </c>
      <c r="E44" s="123">
        <f>+SALES!K29*B44</f>
        <v>15600</v>
      </c>
      <c r="F44" s="123">
        <f>+SALES!N29*B44</f>
        <v>19500</v>
      </c>
      <c r="G44" s="123">
        <f>+SALES!Q29*B44</f>
        <v>19500</v>
      </c>
      <c r="H44" s="123">
        <f>+SALES!T29*B44</f>
        <v>19500</v>
      </c>
      <c r="I44" s="123">
        <f>+SALES!W29*B44</f>
        <v>11700</v>
      </c>
      <c r="J44" s="123">
        <f>+SALES!W29*B44</f>
        <v>11700</v>
      </c>
      <c r="K44" s="123">
        <f>+SALES!Z29*B44</f>
        <v>11700</v>
      </c>
      <c r="L44" s="123">
        <f>+SALES!AC29*B44</f>
        <v>15600</v>
      </c>
      <c r="M44" s="123">
        <f>+SALES!AF26*B44</f>
        <v>4875</v>
      </c>
      <c r="N44" s="123">
        <f>+SALES!AI29*B44</f>
        <v>19500</v>
      </c>
      <c r="O44" s="124">
        <f>SUM(C44:N44)</f>
        <v>168675</v>
      </c>
      <c r="P44" s="123">
        <f>+SALES!R29*O44</f>
        <v>0</v>
      </c>
      <c r="Q44" s="123">
        <f>+SALES!S29*P44</f>
        <v>0</v>
      </c>
      <c r="R44" s="123">
        <f>+SALES!T29*Q44</f>
        <v>0</v>
      </c>
      <c r="S44" s="123">
        <f>+SALES!U29*R44</f>
        <v>0</v>
      </c>
      <c r="T44" s="123">
        <f>+SALES!V29*S44</f>
        <v>0</v>
      </c>
      <c r="U44" s="123">
        <f>+SALES!W29*T44</f>
        <v>0</v>
      </c>
      <c r="V44" s="123">
        <f>+SALES!X29*U44</f>
        <v>0</v>
      </c>
      <c r="W44" s="123">
        <f>+SALES!Y29*V44</f>
        <v>0</v>
      </c>
      <c r="X44" s="123">
        <f>+SALES!Z29*W44</f>
        <v>0</v>
      </c>
      <c r="Y44" s="123">
        <f>+SALES!AA29*X44</f>
        <v>0</v>
      </c>
      <c r="Z44" s="123">
        <f>+SALES!AB29*Y44</f>
        <v>0</v>
      </c>
      <c r="AA44" s="123">
        <f>+SALES!AC29*Z44</f>
        <v>0</v>
      </c>
      <c r="AB44" s="123">
        <f>+SALES!AD29*AA44</f>
        <v>0</v>
      </c>
      <c r="AC44" s="123">
        <f>+SALES!AE29*AB44</f>
        <v>0</v>
      </c>
      <c r="AD44" s="123">
        <f>+SALES!AF29*AC44</f>
        <v>0</v>
      </c>
      <c r="AE44" s="123">
        <f>+SALES!AG29*AD44</f>
        <v>0</v>
      </c>
      <c r="AF44" s="123">
        <f>+SALES!AH29*AE44</f>
        <v>0</v>
      </c>
      <c r="AG44" s="123">
        <f>+SALES!AI29*AF44</f>
        <v>0</v>
      </c>
      <c r="AH44" s="123">
        <f>+SALES!AJ29*AG44</f>
        <v>0</v>
      </c>
      <c r="AI44" s="123">
        <f>+SALES!AK29*AH44</f>
        <v>0</v>
      </c>
      <c r="AJ44" s="123">
        <f>+SALES!AL29*AI44</f>
        <v>0</v>
      </c>
      <c r="AK44" s="123">
        <f>+SALES!AM29*AJ44</f>
        <v>0</v>
      </c>
      <c r="AL44" s="123">
        <f>+SALES!AN29*AK44</f>
        <v>0</v>
      </c>
      <c r="AM44" s="123">
        <f>+SALES!AO29*AL44</f>
        <v>0</v>
      </c>
      <c r="AN44" s="123">
        <f>+SALES!AP29*AM44</f>
        <v>0</v>
      </c>
      <c r="AO44" s="123">
        <f>+SALES!AQ29*AN44</f>
        <v>0</v>
      </c>
      <c r="AP44" s="123">
        <f>+SALES!AR29*AO44</f>
        <v>0</v>
      </c>
      <c r="AQ44" s="123">
        <f>+SALES!AS29*AP44</f>
        <v>0</v>
      </c>
      <c r="AR44" s="123">
        <f>+SALES!AT29*AQ44</f>
        <v>0</v>
      </c>
      <c r="AS44" s="123">
        <f>+SALES!AU29*AR44</f>
        <v>0</v>
      </c>
      <c r="AT44" s="123">
        <f>+SALES!AV29*AS44</f>
        <v>0</v>
      </c>
      <c r="AU44" s="123">
        <f>+SALES!AW29*AT44</f>
        <v>0</v>
      </c>
      <c r="AV44" s="123">
        <f>+SALES!AX29*AU44</f>
        <v>0</v>
      </c>
      <c r="AW44" s="123">
        <f>+SALES!AY29*AV44</f>
        <v>0</v>
      </c>
      <c r="AX44" s="123">
        <f>+SALES!AZ29*AW44</f>
        <v>0</v>
      </c>
      <c r="AY44" s="123">
        <f>+SALES!BA29*AX44</f>
        <v>0</v>
      </c>
      <c r="AZ44" s="123">
        <f>+SALES!BB29*AY44</f>
        <v>0</v>
      </c>
      <c r="BA44" s="123">
        <f>+SALES!BC29*AZ44</f>
        <v>0</v>
      </c>
      <c r="BB44" s="123">
        <f>+SALES!BD29*BA44</f>
        <v>0</v>
      </c>
      <c r="BC44" s="123">
        <f>+SALES!BE29*BB44</f>
        <v>0</v>
      </c>
      <c r="BD44" s="123">
        <f>+SALES!BF29*BC44</f>
        <v>0</v>
      </c>
      <c r="BE44" s="123">
        <f>+SALES!BG29*BD44</f>
        <v>0</v>
      </c>
      <c r="BF44" s="123">
        <f>+SALES!BH29*BE44</f>
        <v>0</v>
      </c>
      <c r="BG44" s="123">
        <f>+SALES!BI29*BF44</f>
        <v>0</v>
      </c>
      <c r="BH44" s="123">
        <f>+SALES!BJ29*BG44</f>
        <v>0</v>
      </c>
      <c r="BI44" s="123">
        <f>+SALES!BK29*BH44</f>
        <v>0</v>
      </c>
      <c r="BJ44" s="123">
        <f>+SALES!BL29*BI44</f>
        <v>0</v>
      </c>
      <c r="BK44" s="123">
        <f>+SALES!BM29*BJ44</f>
        <v>0</v>
      </c>
      <c r="BL44" s="123">
        <f>+SALES!BN29*BK44</f>
        <v>0</v>
      </c>
      <c r="BM44" s="123">
        <f>+SALES!BO29*BL44</f>
        <v>0</v>
      </c>
      <c r="BN44" s="123">
        <f>+SALES!BP29*BM44</f>
        <v>0</v>
      </c>
      <c r="BO44" s="123">
        <f>+SALES!BQ29*BN44</f>
        <v>0</v>
      </c>
      <c r="BP44" s="123">
        <f>+SALES!BR29*BO44</f>
        <v>0</v>
      </c>
      <c r="BQ44" s="123">
        <f>+SALES!BS29*BP44</f>
        <v>0</v>
      </c>
      <c r="BR44" s="123">
        <f>+SALES!BT29*BQ44</f>
        <v>0</v>
      </c>
      <c r="BS44" s="123">
        <f>+SALES!BU29*BR44</f>
        <v>0</v>
      </c>
      <c r="BT44" s="123">
        <f>+SALES!BV29*BS44</f>
        <v>0</v>
      </c>
      <c r="BU44" s="123">
        <f>+SALES!BW29*BT44</f>
        <v>0</v>
      </c>
      <c r="BV44" s="123">
        <f>+SALES!BX29*BU44</f>
        <v>0</v>
      </c>
      <c r="BW44" s="123">
        <f>+SALES!BY29*BV44</f>
        <v>0</v>
      </c>
      <c r="BX44" s="123">
        <f>+SALES!BZ29*BW44</f>
        <v>0</v>
      </c>
      <c r="BY44" s="123">
        <f>+SALES!CA29*BX44</f>
        <v>0</v>
      </c>
      <c r="BZ44" s="123">
        <f>+SALES!CB29*BY44</f>
        <v>0</v>
      </c>
      <c r="CA44" s="123">
        <f>+SALES!CC29*BZ44</f>
        <v>0</v>
      </c>
      <c r="CB44" s="123">
        <f>+SALES!CD29*CA44</f>
        <v>0</v>
      </c>
      <c r="CC44" s="123">
        <f>+SALES!CE29*CB44</f>
        <v>0</v>
      </c>
      <c r="CD44" s="123">
        <f>+SALES!CF29*CC44</f>
        <v>0</v>
      </c>
      <c r="CE44" s="123">
        <f>+SALES!CG29*CD44</f>
        <v>0</v>
      </c>
      <c r="CF44" s="123">
        <f>+SALES!CH29*CE44</f>
        <v>0</v>
      </c>
      <c r="CG44" s="123">
        <f>+SALES!CI29*CF44</f>
        <v>0</v>
      </c>
    </row>
    <row r="45" spans="1:85">
      <c r="A45" s="118" t="s">
        <v>135</v>
      </c>
      <c r="B45" s="119">
        <v>0.02</v>
      </c>
      <c r="C45" s="123">
        <f>+SALES!E29*B45</f>
        <v>240</v>
      </c>
      <c r="D45" s="123">
        <f>+SALES!H29*B45</f>
        <v>360</v>
      </c>
      <c r="E45" s="123">
        <f>+SALES!K29*B45</f>
        <v>480</v>
      </c>
      <c r="F45" s="123">
        <f>+SALES!N29*B45</f>
        <v>600</v>
      </c>
      <c r="G45" s="123">
        <f>+SALES!Q29*B45</f>
        <v>600</v>
      </c>
      <c r="H45" s="123">
        <f>+SALES!T29*B45</f>
        <v>600</v>
      </c>
      <c r="I45" s="123">
        <f>+SALES!W29*B45</f>
        <v>360</v>
      </c>
      <c r="J45" s="123">
        <f>+SALES!W29*B45</f>
        <v>360</v>
      </c>
      <c r="K45" s="123">
        <f>+SALES!Z29*B45</f>
        <v>360</v>
      </c>
      <c r="L45" s="123">
        <f>+SALES!AC29*B45</f>
        <v>480</v>
      </c>
      <c r="M45" s="123">
        <f>+SALES!AF29*B45</f>
        <v>600</v>
      </c>
      <c r="N45" s="123">
        <f>+SALES!AI29*B45</f>
        <v>600</v>
      </c>
      <c r="O45" s="124">
        <f>SUM(C45:N45)</f>
        <v>5640</v>
      </c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</row>
    <row r="46" spans="1:85">
      <c r="A46" s="118" t="s">
        <v>136</v>
      </c>
      <c r="B46" s="119">
        <v>0.08</v>
      </c>
      <c r="C46" s="123">
        <f>+SALES!E29*B46</f>
        <v>960</v>
      </c>
      <c r="D46" s="123">
        <f>+SALES!H29*B46</f>
        <v>1440</v>
      </c>
      <c r="E46" s="123">
        <f>+SALES!K29*B46</f>
        <v>1920</v>
      </c>
      <c r="F46" s="123">
        <f>+SALES!N29*B46</f>
        <v>2400</v>
      </c>
      <c r="G46" s="123">
        <f>+SALES!Q29*B46</f>
        <v>2400</v>
      </c>
      <c r="H46" s="123">
        <f>+SALES!T29*B46</f>
        <v>2400</v>
      </c>
      <c r="I46" s="123">
        <f>+SALES!W29*B46</f>
        <v>1440</v>
      </c>
      <c r="J46" s="123">
        <f>+SALES!W29*B46</f>
        <v>1440</v>
      </c>
      <c r="K46" s="123">
        <f>+SALES!Z29*B46</f>
        <v>1440</v>
      </c>
      <c r="L46" s="123">
        <f>+SALES!AC29*B46</f>
        <v>1920</v>
      </c>
      <c r="M46" s="123">
        <f>+SALES!AF29*B46</f>
        <v>2400</v>
      </c>
      <c r="N46" s="123">
        <f>+SALES!AI29*B46</f>
        <v>2400</v>
      </c>
      <c r="O46" s="124">
        <f>SUM(C46:N46)</f>
        <v>22560</v>
      </c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</row>
    <row r="47" spans="1:85">
      <c r="A47" s="125" t="s">
        <v>695</v>
      </c>
      <c r="B47" s="112"/>
      <c r="C47" s="113">
        <f t="shared" ref="C47:O47" si="6">SUM(C44:C46)</f>
        <v>9000</v>
      </c>
      <c r="D47" s="113">
        <f t="shared" si="6"/>
        <v>13500</v>
      </c>
      <c r="E47" s="113">
        <f t="shared" si="6"/>
        <v>18000</v>
      </c>
      <c r="F47" s="113">
        <f t="shared" si="6"/>
        <v>22500</v>
      </c>
      <c r="G47" s="113">
        <f t="shared" si="6"/>
        <v>22500</v>
      </c>
      <c r="H47" s="113">
        <f t="shared" si="6"/>
        <v>22500</v>
      </c>
      <c r="I47" s="113">
        <f t="shared" si="6"/>
        <v>13500</v>
      </c>
      <c r="J47" s="113">
        <f t="shared" si="6"/>
        <v>13500</v>
      </c>
      <c r="K47" s="113">
        <f t="shared" si="6"/>
        <v>13500</v>
      </c>
      <c r="L47" s="113">
        <f t="shared" si="6"/>
        <v>18000</v>
      </c>
      <c r="M47" s="113">
        <f t="shared" si="6"/>
        <v>7875</v>
      </c>
      <c r="N47" s="113">
        <f t="shared" si="6"/>
        <v>22500</v>
      </c>
      <c r="O47" s="113">
        <f t="shared" si="6"/>
        <v>196875</v>
      </c>
    </row>
    <row r="48" spans="1:85" ht="15">
      <c r="A48" s="122" t="s">
        <v>129</v>
      </c>
      <c r="B48" s="119">
        <v>0.75</v>
      </c>
      <c r="C48" s="123">
        <f>+SALES!E32*B48</f>
        <v>10800</v>
      </c>
      <c r="D48" s="123">
        <f>+SALES!H32*B48</f>
        <v>16200</v>
      </c>
      <c r="E48" s="123">
        <f>+SALES!K32*B48</f>
        <v>27000</v>
      </c>
      <c r="F48" s="123">
        <f>+SALES!N32*B48</f>
        <v>33750</v>
      </c>
      <c r="G48" s="123">
        <f>+SALES!Q32*B48</f>
        <v>33750</v>
      </c>
      <c r="H48" s="123">
        <f>+SALES!T32*B48</f>
        <v>33750</v>
      </c>
      <c r="I48" s="123">
        <f>+SALES!W32*B48</f>
        <v>33750</v>
      </c>
      <c r="J48" s="123">
        <f>+SALES!Z32*B48</f>
        <v>27000</v>
      </c>
      <c r="K48" s="123">
        <f>+SALES!AC32*B48</f>
        <v>27000</v>
      </c>
      <c r="L48" s="123">
        <f>+SALES!AF32*B48</f>
        <v>33750</v>
      </c>
      <c r="M48" s="123">
        <f>+SALES!AI32*B48</f>
        <v>27000</v>
      </c>
      <c r="N48" s="123">
        <f>+SALES!AL32*B48</f>
        <v>20250</v>
      </c>
      <c r="O48" s="124">
        <f>SUM(C48:N48)</f>
        <v>324000</v>
      </c>
    </row>
    <row r="49" spans="1:39">
      <c r="A49" s="118" t="s">
        <v>143</v>
      </c>
      <c r="B49" s="119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4"/>
    </row>
    <row r="50" spans="1:39">
      <c r="A50" s="125" t="s">
        <v>142</v>
      </c>
      <c r="B50" s="112"/>
      <c r="C50" s="113">
        <f>+C48</f>
        <v>10800</v>
      </c>
      <c r="D50" s="113">
        <f t="shared" ref="D50:O50" si="7">+D48</f>
        <v>16200</v>
      </c>
      <c r="E50" s="113">
        <f t="shared" si="7"/>
        <v>27000</v>
      </c>
      <c r="F50" s="113">
        <f t="shared" si="7"/>
        <v>33750</v>
      </c>
      <c r="G50" s="113">
        <f t="shared" si="7"/>
        <v>33750</v>
      </c>
      <c r="H50" s="113">
        <f t="shared" si="7"/>
        <v>33750</v>
      </c>
      <c r="I50" s="113">
        <f t="shared" si="7"/>
        <v>33750</v>
      </c>
      <c r="J50" s="113">
        <f t="shared" si="7"/>
        <v>27000</v>
      </c>
      <c r="K50" s="113">
        <f t="shared" si="7"/>
        <v>27000</v>
      </c>
      <c r="L50" s="113">
        <f t="shared" si="7"/>
        <v>33750</v>
      </c>
      <c r="M50" s="113">
        <f t="shared" si="7"/>
        <v>27000</v>
      </c>
      <c r="N50" s="113">
        <f t="shared" si="7"/>
        <v>20250</v>
      </c>
      <c r="O50" s="113">
        <f t="shared" si="7"/>
        <v>324000</v>
      </c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</row>
    <row r="51" spans="1:39" ht="15">
      <c r="A51" s="122" t="s">
        <v>684</v>
      </c>
      <c r="B51" s="119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4"/>
    </row>
    <row r="52" spans="1:39">
      <c r="A52" s="118" t="s">
        <v>694</v>
      </c>
      <c r="B52" s="119">
        <v>0.75</v>
      </c>
      <c r="C52" s="123">
        <f>$B52*SALES!$E$34</f>
        <v>656.25</v>
      </c>
      <c r="D52" s="123">
        <f>$B52*SALES!$H$34</f>
        <v>1312.5</v>
      </c>
      <c r="E52" s="123">
        <f>$B52*SALES!$K$34</f>
        <v>3281.25</v>
      </c>
      <c r="F52" s="123">
        <f>$B52*SALES!$N$34</f>
        <v>3281.25</v>
      </c>
      <c r="G52" s="123">
        <f>$B52*SALES!$Q$34</f>
        <v>3281.25</v>
      </c>
      <c r="H52" s="123">
        <f>$B52*SALES!$T$34</f>
        <v>3281.25</v>
      </c>
      <c r="I52" s="123">
        <f>$B52*SALES!$W$34</f>
        <v>3281.25</v>
      </c>
      <c r="J52" s="123">
        <f>$B52*SALES!$Z$34</f>
        <v>0</v>
      </c>
      <c r="K52" s="123">
        <f>$B52*SALES!$AC$34</f>
        <v>3281.25</v>
      </c>
      <c r="L52" s="123">
        <f>$B52*SALES!$AF$34</f>
        <v>3281.25</v>
      </c>
      <c r="M52" s="123">
        <f>$B52*SALES!$AI$34</f>
        <v>1312.5</v>
      </c>
      <c r="N52" s="123">
        <f>$B52*SALES!$AL$34</f>
        <v>656.25</v>
      </c>
      <c r="O52" s="124">
        <f>SUM(C52:N52)</f>
        <v>26906.25</v>
      </c>
    </row>
    <row r="53" spans="1:39" s="24" customFormat="1">
      <c r="A53" s="125" t="s">
        <v>696</v>
      </c>
      <c r="B53" s="112">
        <f t="shared" ref="B53:O53" si="8">SUM(B52:B52)</f>
        <v>0.75</v>
      </c>
      <c r="C53" s="113">
        <f t="shared" si="8"/>
        <v>656.25</v>
      </c>
      <c r="D53" s="113">
        <f t="shared" si="8"/>
        <v>1312.5</v>
      </c>
      <c r="E53" s="113">
        <f t="shared" si="8"/>
        <v>3281.25</v>
      </c>
      <c r="F53" s="113">
        <f t="shared" si="8"/>
        <v>3281.25</v>
      </c>
      <c r="G53" s="113">
        <f t="shared" si="8"/>
        <v>3281.25</v>
      </c>
      <c r="H53" s="113">
        <f t="shared" si="8"/>
        <v>3281.25</v>
      </c>
      <c r="I53" s="113">
        <f t="shared" si="8"/>
        <v>3281.25</v>
      </c>
      <c r="J53" s="113">
        <f t="shared" si="8"/>
        <v>0</v>
      </c>
      <c r="K53" s="113">
        <f t="shared" si="8"/>
        <v>3281.25</v>
      </c>
      <c r="L53" s="113">
        <f t="shared" si="8"/>
        <v>3281.25</v>
      </c>
      <c r="M53" s="113">
        <f t="shared" si="8"/>
        <v>1312.5</v>
      </c>
      <c r="N53" s="113">
        <f t="shared" si="8"/>
        <v>656.25</v>
      </c>
      <c r="O53" s="126">
        <f t="shared" si="8"/>
        <v>26906.25</v>
      </c>
    </row>
    <row r="54" spans="1:39">
      <c r="A54" s="121" t="s">
        <v>1</v>
      </c>
      <c r="B54" s="119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4"/>
    </row>
    <row r="55" spans="1:39">
      <c r="A55" s="121" t="s">
        <v>2</v>
      </c>
      <c r="B55" s="119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4"/>
    </row>
    <row r="56" spans="1:39">
      <c r="A56" s="118" t="s">
        <v>133</v>
      </c>
      <c r="B56" s="119">
        <v>0.12</v>
      </c>
      <c r="C56" s="123">
        <f>(+SALES!E42)*B56</f>
        <v>900</v>
      </c>
      <c r="D56" s="123">
        <f>(+SALES!H42)*B56</f>
        <v>900</v>
      </c>
      <c r="E56" s="123">
        <f>(+SALES!K42)*B56</f>
        <v>900</v>
      </c>
      <c r="F56" s="123">
        <f>(+SALES!N42)*B56</f>
        <v>900</v>
      </c>
      <c r="G56" s="123">
        <f>(+SALES!Q42)*B56</f>
        <v>900</v>
      </c>
      <c r="H56" s="123">
        <f>(+SALES!T42)*B56</f>
        <v>900</v>
      </c>
      <c r="I56" s="123">
        <f>(+SALES!W42)*B56</f>
        <v>0</v>
      </c>
      <c r="J56" s="123">
        <f>(+SALES!Z42)*B56</f>
        <v>0</v>
      </c>
      <c r="K56" s="123">
        <f>(+SALES!AC42)*B56</f>
        <v>360</v>
      </c>
      <c r="L56" s="123">
        <f>(+SALES!AF42)*B56</f>
        <v>900</v>
      </c>
      <c r="M56" s="123">
        <f>(+SALES!AI42)*B56</f>
        <v>360</v>
      </c>
      <c r="N56" s="123">
        <f>(+SALES!AL42)*B56</f>
        <v>360</v>
      </c>
      <c r="O56" s="124">
        <f>SUM(C56:N56)</f>
        <v>7380</v>
      </c>
    </row>
    <row r="57" spans="1:39">
      <c r="A57" s="118" t="s">
        <v>134</v>
      </c>
      <c r="B57" s="119">
        <v>0.02</v>
      </c>
      <c r="C57" s="123">
        <f>(+SALES!E42)*B57</f>
        <v>150</v>
      </c>
      <c r="D57" s="123">
        <f>(+SALES!H42)*B57</f>
        <v>150</v>
      </c>
      <c r="E57" s="123">
        <f>(+SALES!K42)*B57</f>
        <v>150</v>
      </c>
      <c r="F57" s="123">
        <f>(+SALES!N42)*B57</f>
        <v>150</v>
      </c>
      <c r="G57" s="123">
        <f>(+SALES!Q42)*B57</f>
        <v>150</v>
      </c>
      <c r="H57" s="123">
        <f>(+SALES!T42)*B57</f>
        <v>150</v>
      </c>
      <c r="I57" s="123">
        <f>(+SALES!W42)*B57</f>
        <v>0</v>
      </c>
      <c r="J57" s="123">
        <f>(+SALES!Z42)*B57</f>
        <v>0</v>
      </c>
      <c r="K57" s="123">
        <f>(+SALES!AC42)*B57</f>
        <v>60</v>
      </c>
      <c r="L57" s="123">
        <f>(+SALES!AF42)*B57</f>
        <v>150</v>
      </c>
      <c r="M57" s="123">
        <f>(+SALES!AI42)*B57</f>
        <v>60</v>
      </c>
      <c r="N57" s="123">
        <f>(+SALES!AL42)*B57</f>
        <v>60</v>
      </c>
      <c r="O57" s="124">
        <f>SUM(C57:N57)</f>
        <v>1230</v>
      </c>
    </row>
    <row r="58" spans="1:39">
      <c r="A58" s="118" t="s">
        <v>135</v>
      </c>
      <c r="B58" s="119">
        <v>0.02</v>
      </c>
      <c r="C58" s="123">
        <f>(+SALES!E42)*B58</f>
        <v>150</v>
      </c>
      <c r="D58" s="123">
        <f>(+SALES!H42)*B58</f>
        <v>150</v>
      </c>
      <c r="E58" s="123">
        <f>(+SALES!K42)*B58</f>
        <v>150</v>
      </c>
      <c r="F58" s="123">
        <f>(+SALES!N42)*B58</f>
        <v>150</v>
      </c>
      <c r="G58" s="123">
        <f>(+SALES!Q42)*B58</f>
        <v>150</v>
      </c>
      <c r="H58" s="123">
        <f>(+SALES!T42)*B58</f>
        <v>150</v>
      </c>
      <c r="I58" s="123">
        <f>(+SALES!W42)*B58</f>
        <v>0</v>
      </c>
      <c r="J58" s="123">
        <f>(+SALES!Z42)*B58</f>
        <v>0</v>
      </c>
      <c r="K58" s="123">
        <f>(+SALES!AC42)*B58</f>
        <v>60</v>
      </c>
      <c r="L58" s="123">
        <f>(+SALES!AF42)*B58</f>
        <v>150</v>
      </c>
      <c r="M58" s="123">
        <f>(+SALES!AI42)*B58</f>
        <v>60</v>
      </c>
      <c r="N58" s="123">
        <f>(+SALES!AL42)*B58</f>
        <v>60</v>
      </c>
      <c r="O58" s="124">
        <f>SUM(C58:N58)</f>
        <v>1230</v>
      </c>
    </row>
    <row r="59" spans="1:39">
      <c r="A59" s="118" t="s">
        <v>136</v>
      </c>
      <c r="B59" s="119">
        <v>0.08</v>
      </c>
      <c r="C59" s="123">
        <f>(+SALES!E42)*B59</f>
        <v>600</v>
      </c>
      <c r="D59" s="123">
        <f>(+SALES!H42)*B59</f>
        <v>600</v>
      </c>
      <c r="E59" s="123">
        <f>(+SALES!K42)*B59</f>
        <v>600</v>
      </c>
      <c r="F59" s="123">
        <f>(+SALES!N42)*B59</f>
        <v>600</v>
      </c>
      <c r="G59" s="123">
        <f>(+SALES!Q42)*B59</f>
        <v>600</v>
      </c>
      <c r="H59" s="123">
        <f>(+SALES!T42)*B59</f>
        <v>600</v>
      </c>
      <c r="I59" s="123">
        <f>(+SALES!W42)*B59</f>
        <v>0</v>
      </c>
      <c r="J59" s="123">
        <f>(+SALES!Z42)*B59</f>
        <v>0</v>
      </c>
      <c r="K59" s="123">
        <f>(+SALES!AC42)*B59</f>
        <v>240</v>
      </c>
      <c r="L59" s="123">
        <f>(+SALES!AF42)*B59</f>
        <v>600</v>
      </c>
      <c r="M59" s="123">
        <f>(+SALES!AI42)*B59</f>
        <v>240</v>
      </c>
      <c r="N59" s="123">
        <f>(+SALES!AL42)*B59</f>
        <v>240</v>
      </c>
      <c r="O59" s="124">
        <f>SUM(C59:N59)</f>
        <v>4920</v>
      </c>
    </row>
    <row r="60" spans="1:39">
      <c r="A60" s="118" t="s">
        <v>137</v>
      </c>
      <c r="B60" s="119">
        <v>0.01</v>
      </c>
      <c r="C60" s="123">
        <f>(+SALES!E42)*B60</f>
        <v>75</v>
      </c>
      <c r="D60" s="123">
        <f>(+SALES!H42)*B60</f>
        <v>75</v>
      </c>
      <c r="E60" s="123">
        <f>(+SALES!K42)*B60</f>
        <v>75</v>
      </c>
      <c r="F60" s="123">
        <f>(+SALES!N42)*B60</f>
        <v>75</v>
      </c>
      <c r="G60" s="123">
        <f>(+SALES!Q42)*B60</f>
        <v>75</v>
      </c>
      <c r="H60" s="123">
        <f>(+SALES!T42)*B60</f>
        <v>75</v>
      </c>
      <c r="I60" s="123">
        <f>(+SALES!W42)*B60</f>
        <v>0</v>
      </c>
      <c r="J60" s="123">
        <f>(+SALES!Z42)*B60</f>
        <v>0</v>
      </c>
      <c r="K60" s="123">
        <f>(+SALES!AC42)*B60</f>
        <v>30</v>
      </c>
      <c r="L60" s="123">
        <f>(+SALES!AF42)*B60</f>
        <v>75</v>
      </c>
      <c r="M60" s="123">
        <f>(+SALES!AI42)*B60</f>
        <v>30</v>
      </c>
      <c r="N60" s="123">
        <f>(+SALES!AL42)*B60</f>
        <v>30</v>
      </c>
      <c r="O60" s="124">
        <f>SUM(C60:N60)</f>
        <v>615</v>
      </c>
    </row>
    <row r="61" spans="1:39">
      <c r="A61" s="125" t="s">
        <v>138</v>
      </c>
      <c r="B61" s="112">
        <f>SUM(B56:B60)</f>
        <v>0.25</v>
      </c>
      <c r="C61" s="113">
        <f>SUM(C56:C60)</f>
        <v>1875</v>
      </c>
      <c r="D61" s="113">
        <f t="shared" ref="D61:O61" si="9">SUM(D56:D60)</f>
        <v>1875</v>
      </c>
      <c r="E61" s="113">
        <f t="shared" si="9"/>
        <v>1875</v>
      </c>
      <c r="F61" s="113">
        <f t="shared" si="9"/>
        <v>1875</v>
      </c>
      <c r="G61" s="113">
        <f t="shared" si="9"/>
        <v>1875</v>
      </c>
      <c r="H61" s="113">
        <f t="shared" si="9"/>
        <v>1875</v>
      </c>
      <c r="I61" s="113">
        <f t="shared" si="9"/>
        <v>0</v>
      </c>
      <c r="J61" s="113">
        <f t="shared" si="9"/>
        <v>0</v>
      </c>
      <c r="K61" s="113">
        <f t="shared" si="9"/>
        <v>750</v>
      </c>
      <c r="L61" s="113">
        <f t="shared" si="9"/>
        <v>1875</v>
      </c>
      <c r="M61" s="113">
        <f t="shared" si="9"/>
        <v>750</v>
      </c>
      <c r="N61" s="113">
        <f t="shared" si="9"/>
        <v>750</v>
      </c>
      <c r="O61" s="126">
        <f t="shared" si="9"/>
        <v>15375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9" ht="15">
      <c r="A62" s="122" t="s">
        <v>4</v>
      </c>
      <c r="B62" s="119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4"/>
    </row>
    <row r="63" spans="1:39">
      <c r="A63" s="118" t="s">
        <v>133</v>
      </c>
      <c r="B63" s="119">
        <v>0.2</v>
      </c>
      <c r="C63" s="123">
        <f>$B63*SALES!$E$47</f>
        <v>5280</v>
      </c>
      <c r="D63" s="123">
        <f>$B63*SALES!$H$47</f>
        <v>9180</v>
      </c>
      <c r="E63" s="123">
        <f>$B63*SALES!$K$47</f>
        <v>15960</v>
      </c>
      <c r="F63" s="123">
        <f>$B63*SALES!$N$47</f>
        <v>15960</v>
      </c>
      <c r="G63" s="123">
        <f>$B63*SALES!$Q$47</f>
        <v>18840</v>
      </c>
      <c r="H63" s="123">
        <f>$B63*SALES!$T$47</f>
        <v>18840</v>
      </c>
      <c r="I63" s="123">
        <f>$B63*SALES!$W$47</f>
        <v>15960</v>
      </c>
      <c r="J63" s="123">
        <f>$B63*SALES!$Z$47</f>
        <v>11580</v>
      </c>
      <c r="K63" s="123">
        <f>$B63*SALES!$AC$47</f>
        <v>14460</v>
      </c>
      <c r="L63" s="123">
        <f>$B63*SALES!$AF$47</f>
        <v>13080</v>
      </c>
      <c r="M63" s="123">
        <f>$B63*SALES!$AI$47</f>
        <v>11580</v>
      </c>
      <c r="N63" s="123">
        <f>$B63*SALES!$AL$47</f>
        <v>11580</v>
      </c>
      <c r="O63" s="124">
        <f>SUM(C63:N63)</f>
        <v>162300</v>
      </c>
    </row>
    <row r="64" spans="1:39">
      <c r="A64" s="118" t="s">
        <v>134</v>
      </c>
      <c r="B64" s="119">
        <v>0.01</v>
      </c>
      <c r="C64" s="123">
        <f>$B64*SALES!$E$47</f>
        <v>264</v>
      </c>
      <c r="D64" s="123">
        <f>$B64*SALES!$H$47</f>
        <v>459</v>
      </c>
      <c r="E64" s="123">
        <f>$B64*SALES!$K$47</f>
        <v>798</v>
      </c>
      <c r="F64" s="123">
        <f>$B64*SALES!$N$47</f>
        <v>798</v>
      </c>
      <c r="G64" s="123">
        <f>$B64*SALES!$Q$47</f>
        <v>942</v>
      </c>
      <c r="H64" s="123">
        <f>$B64*SALES!$T$47</f>
        <v>942</v>
      </c>
      <c r="I64" s="123">
        <f>$B64*SALES!$W$47</f>
        <v>798</v>
      </c>
      <c r="J64" s="123">
        <f>$B64*SALES!$Z$47</f>
        <v>579</v>
      </c>
      <c r="K64" s="123">
        <f>$B64*SALES!$AC$47</f>
        <v>723</v>
      </c>
      <c r="L64" s="123">
        <f>$B64*SALES!$AF$47</f>
        <v>654</v>
      </c>
      <c r="M64" s="123">
        <f>$B64*SALES!$AI$47</f>
        <v>579</v>
      </c>
      <c r="N64" s="123">
        <f>$B64*SALES!$AL$47</f>
        <v>579</v>
      </c>
      <c r="O64" s="124">
        <f>SUM(C64:N64)</f>
        <v>8115</v>
      </c>
    </row>
    <row r="65" spans="1:39">
      <c r="A65" s="118" t="s">
        <v>135</v>
      </c>
      <c r="B65" s="119">
        <v>0.02</v>
      </c>
      <c r="C65" s="123">
        <f>$B65*SALES!$E$47</f>
        <v>528</v>
      </c>
      <c r="D65" s="123">
        <f>$B65*SALES!$H$47</f>
        <v>918</v>
      </c>
      <c r="E65" s="123">
        <f>$B65*SALES!$K$47</f>
        <v>1596</v>
      </c>
      <c r="F65" s="123">
        <f>$B65*SALES!$N$47</f>
        <v>1596</v>
      </c>
      <c r="G65" s="123">
        <f>$B65*SALES!$Q$47</f>
        <v>1884</v>
      </c>
      <c r="H65" s="123">
        <f>$B65*SALES!$T$47</f>
        <v>1884</v>
      </c>
      <c r="I65" s="123">
        <f>$B65*SALES!$W$47</f>
        <v>1596</v>
      </c>
      <c r="J65" s="123">
        <f>$B65*SALES!$Z$47</f>
        <v>1158</v>
      </c>
      <c r="K65" s="123">
        <f>$B65*SALES!$AC$47</f>
        <v>1446</v>
      </c>
      <c r="L65" s="123">
        <f>$B65*SALES!$AF$47</f>
        <v>1308</v>
      </c>
      <c r="M65" s="123">
        <f>$B65*SALES!$AI$47</f>
        <v>1158</v>
      </c>
      <c r="N65" s="123">
        <f>$B65*SALES!$AL$47</f>
        <v>1158</v>
      </c>
      <c r="O65" s="124">
        <f>SUM(C65:N65)</f>
        <v>16230</v>
      </c>
    </row>
    <row r="66" spans="1:39">
      <c r="A66" s="118" t="s">
        <v>136</v>
      </c>
      <c r="B66" s="119">
        <v>0.08</v>
      </c>
      <c r="C66" s="123">
        <f>$B66*SALES!$E$47</f>
        <v>2112</v>
      </c>
      <c r="D66" s="123">
        <f>$B66*SALES!$H$47</f>
        <v>3672</v>
      </c>
      <c r="E66" s="123">
        <f>$B66*SALES!$K$47</f>
        <v>6384</v>
      </c>
      <c r="F66" s="123">
        <f>$B66*SALES!$N$47</f>
        <v>6384</v>
      </c>
      <c r="G66" s="123">
        <f>$B66*SALES!$Q$47</f>
        <v>7536</v>
      </c>
      <c r="H66" s="123">
        <f>$B66*SALES!$T$47</f>
        <v>7536</v>
      </c>
      <c r="I66" s="123">
        <f>$B66*SALES!$W$47</f>
        <v>6384</v>
      </c>
      <c r="J66" s="123">
        <f>$B66*SALES!$Z$47</f>
        <v>4632</v>
      </c>
      <c r="K66" s="123">
        <f>$B66*SALES!$AC$47</f>
        <v>5784</v>
      </c>
      <c r="L66" s="123">
        <f>$B66*SALES!$AF$47</f>
        <v>5232</v>
      </c>
      <c r="M66" s="123">
        <f>$B66*SALES!$AI$47</f>
        <v>4632</v>
      </c>
      <c r="N66" s="123">
        <f>$B66*SALES!$AL$47</f>
        <v>4632</v>
      </c>
      <c r="O66" s="124">
        <f>SUM(C66:N66)</f>
        <v>64920</v>
      </c>
    </row>
    <row r="67" spans="1:39">
      <c r="A67" s="118" t="s">
        <v>137</v>
      </c>
      <c r="B67" s="119">
        <v>0.01</v>
      </c>
      <c r="C67" s="123">
        <f>$B67*SALES!$E$47</f>
        <v>264</v>
      </c>
      <c r="D67" s="123">
        <f>$B67*SALES!$H$47</f>
        <v>459</v>
      </c>
      <c r="E67" s="123">
        <f>$B67*SALES!$K$47</f>
        <v>798</v>
      </c>
      <c r="F67" s="123">
        <f>$B67*SALES!$N$47</f>
        <v>798</v>
      </c>
      <c r="G67" s="123">
        <f>$B67*SALES!$Q$47</f>
        <v>942</v>
      </c>
      <c r="H67" s="123">
        <f>$B67*SALES!$T$47</f>
        <v>942</v>
      </c>
      <c r="I67" s="123">
        <f>$B67*SALES!$W$47</f>
        <v>798</v>
      </c>
      <c r="J67" s="123">
        <f>$B67*SALES!$Z$47</f>
        <v>579</v>
      </c>
      <c r="K67" s="123">
        <f>$B67*SALES!$AC$47</f>
        <v>723</v>
      </c>
      <c r="L67" s="123">
        <f>$B67*SALES!$AF$47</f>
        <v>654</v>
      </c>
      <c r="M67" s="123">
        <f>$B67*SALES!$AI$47</f>
        <v>579</v>
      </c>
      <c r="N67" s="123">
        <f>$B67*SALES!$AL$47</f>
        <v>579</v>
      </c>
      <c r="O67" s="124">
        <f>SUM(C67:N67)</f>
        <v>8115</v>
      </c>
    </row>
    <row r="68" spans="1:39" s="24" customFormat="1">
      <c r="A68" s="125" t="s">
        <v>139</v>
      </c>
      <c r="B68" s="112">
        <f>SUM(B62:B67)</f>
        <v>0.32</v>
      </c>
      <c r="C68" s="113">
        <f t="shared" ref="C68:O68" si="10">SUM(C63:C67)</f>
        <v>8448</v>
      </c>
      <c r="D68" s="113">
        <f t="shared" si="10"/>
        <v>14688</v>
      </c>
      <c r="E68" s="113">
        <f t="shared" si="10"/>
        <v>25536</v>
      </c>
      <c r="F68" s="113">
        <f t="shared" si="10"/>
        <v>25536</v>
      </c>
      <c r="G68" s="113">
        <f t="shared" si="10"/>
        <v>30144</v>
      </c>
      <c r="H68" s="113">
        <f t="shared" si="10"/>
        <v>30144</v>
      </c>
      <c r="I68" s="113">
        <f t="shared" si="10"/>
        <v>25536</v>
      </c>
      <c r="J68" s="113">
        <f t="shared" si="10"/>
        <v>18528</v>
      </c>
      <c r="K68" s="113">
        <f t="shared" si="10"/>
        <v>23136</v>
      </c>
      <c r="L68" s="113">
        <f t="shared" si="10"/>
        <v>20928</v>
      </c>
      <c r="M68" s="113">
        <f t="shared" si="10"/>
        <v>18528</v>
      </c>
      <c r="N68" s="113">
        <f t="shared" si="10"/>
        <v>18528</v>
      </c>
      <c r="O68" s="126">
        <f t="shared" si="10"/>
        <v>259680</v>
      </c>
    </row>
    <row r="69" spans="1:39" ht="15">
      <c r="A69" s="122" t="s">
        <v>685</v>
      </c>
      <c r="B69" s="119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4"/>
    </row>
    <row r="70" spans="1:39">
      <c r="A70" s="118" t="s">
        <v>702</v>
      </c>
      <c r="B70" s="119">
        <v>0.15</v>
      </c>
      <c r="C70" s="123">
        <f>+SALES!E50*B70</f>
        <v>3600</v>
      </c>
      <c r="D70" s="123">
        <f>+SALES!H50*B70</f>
        <v>7200</v>
      </c>
      <c r="E70" s="123">
        <f>+SALES!K50*B70</f>
        <v>7200</v>
      </c>
      <c r="F70" s="123">
        <f>+SALES!N50*B70</f>
        <v>7200</v>
      </c>
      <c r="G70" s="123">
        <f>+SALES!Q50*B70</f>
        <v>7200</v>
      </c>
      <c r="H70" s="123">
        <f>+SALES!T50*B70</f>
        <v>7200</v>
      </c>
      <c r="I70" s="123">
        <f>+SALES!W50*B70</f>
        <v>7200</v>
      </c>
      <c r="J70" s="123">
        <f>+SALES!Z50*B70</f>
        <v>7200</v>
      </c>
      <c r="K70" s="123">
        <f>+SALES!AC50*B70</f>
        <v>7200</v>
      </c>
      <c r="L70" s="123">
        <f>+SALES!AF50*B70</f>
        <v>7200</v>
      </c>
      <c r="M70" s="123">
        <f>+SALES!AI50*B70</f>
        <v>7200</v>
      </c>
      <c r="N70" s="123">
        <f>+SALES!AL50*B70</f>
        <v>7200</v>
      </c>
      <c r="O70" s="124">
        <f>SUM(C70:N70)</f>
        <v>82800</v>
      </c>
    </row>
    <row r="71" spans="1:39">
      <c r="A71" s="118" t="s">
        <v>134</v>
      </c>
      <c r="B71" s="119">
        <v>0.02</v>
      </c>
      <c r="C71" s="123">
        <f>+SALES!E50*B71</f>
        <v>480</v>
      </c>
      <c r="D71" s="123">
        <f>+SALES!H50*B71</f>
        <v>960</v>
      </c>
      <c r="E71" s="123">
        <f>+SALES!K50*B71</f>
        <v>960</v>
      </c>
      <c r="F71" s="123">
        <f>+SALES!N50*B71</f>
        <v>960</v>
      </c>
      <c r="G71" s="123">
        <f>+SALES!Q50*B71</f>
        <v>960</v>
      </c>
      <c r="H71" s="123">
        <f>+SALES!T50*B71</f>
        <v>960</v>
      </c>
      <c r="I71" s="123">
        <f>+SALES!T50*B71</f>
        <v>960</v>
      </c>
      <c r="J71" s="123">
        <f>+SALES!Z50*B71</f>
        <v>960</v>
      </c>
      <c r="K71" s="123">
        <f>+SALES!AC50*B71</f>
        <v>960</v>
      </c>
      <c r="L71" s="123">
        <f>+SALES!AF50*B71</f>
        <v>960</v>
      </c>
      <c r="M71" s="123">
        <f>+SALES!AI50*B71</f>
        <v>960</v>
      </c>
      <c r="N71" s="123">
        <f>+SALES!AL50*B71</f>
        <v>960</v>
      </c>
      <c r="O71" s="124">
        <f>SUM(C71:N71)</f>
        <v>11040</v>
      </c>
    </row>
    <row r="72" spans="1:39">
      <c r="A72" s="118" t="s">
        <v>135</v>
      </c>
      <c r="B72" s="119">
        <v>0.02</v>
      </c>
      <c r="C72" s="123">
        <f>+SALES!E50*B72</f>
        <v>480</v>
      </c>
      <c r="D72" s="123">
        <f>+SALES!H50*B72</f>
        <v>960</v>
      </c>
      <c r="E72" s="123">
        <f>+SALES!K50*B72</f>
        <v>960</v>
      </c>
      <c r="F72" s="123">
        <f>+SALES!N50*B72</f>
        <v>960</v>
      </c>
      <c r="G72" s="123">
        <f>+SALES!Q50*B72</f>
        <v>960</v>
      </c>
      <c r="H72" s="123">
        <f>+SALES!T50*B72</f>
        <v>960</v>
      </c>
      <c r="I72" s="123">
        <f>+SALES!T50*B72</f>
        <v>960</v>
      </c>
      <c r="J72" s="123">
        <f>+SALES!Z50*B72</f>
        <v>960</v>
      </c>
      <c r="K72" s="123">
        <f>+SALES!AC50*B72</f>
        <v>960</v>
      </c>
      <c r="L72" s="123">
        <f>+SALES!AF50*B72</f>
        <v>960</v>
      </c>
      <c r="M72" s="123">
        <f>+SALES!AI50*B72</f>
        <v>960</v>
      </c>
      <c r="N72" s="123">
        <f>+SALES!AL50*B72</f>
        <v>960</v>
      </c>
      <c r="O72" s="124">
        <f>SUM(C72:N72)</f>
        <v>11040</v>
      </c>
    </row>
    <row r="73" spans="1:39">
      <c r="A73" s="118" t="s">
        <v>136</v>
      </c>
      <c r="B73" s="119">
        <v>0.08</v>
      </c>
      <c r="C73" s="123">
        <f>+SALES!E50*B73</f>
        <v>1920</v>
      </c>
      <c r="D73" s="123">
        <f>+SALES!H50*B73</f>
        <v>3840</v>
      </c>
      <c r="E73" s="123">
        <f>+SALES!K50*B73</f>
        <v>3840</v>
      </c>
      <c r="F73" s="123">
        <f>+SALES!N50*B73</f>
        <v>3840</v>
      </c>
      <c r="G73" s="123">
        <f>+SALES!Q50*B73</f>
        <v>3840</v>
      </c>
      <c r="H73" s="123">
        <f>+SALES!T50*B73</f>
        <v>3840</v>
      </c>
      <c r="I73" s="123">
        <f>+SALES!T50*B73</f>
        <v>3840</v>
      </c>
      <c r="J73" s="123">
        <f>+SALES!Z50*B73</f>
        <v>3840</v>
      </c>
      <c r="K73" s="123">
        <f>+SALES!AC50*B73</f>
        <v>3840</v>
      </c>
      <c r="L73" s="123">
        <f>+SALES!AF50*B73</f>
        <v>3840</v>
      </c>
      <c r="M73" s="123">
        <f>+SALES!AI50*B73</f>
        <v>3840</v>
      </c>
      <c r="N73" s="123">
        <f>+SALES!AL50*B73</f>
        <v>3840</v>
      </c>
      <c r="O73" s="124">
        <f>SUM(C73:N73)</f>
        <v>44160</v>
      </c>
    </row>
    <row r="74" spans="1:39">
      <c r="A74" s="118" t="s">
        <v>137</v>
      </c>
      <c r="B74" s="119">
        <v>0.01</v>
      </c>
      <c r="C74" s="123">
        <f>+SALES!E50*B74</f>
        <v>240</v>
      </c>
      <c r="D74" s="123">
        <f>+SALES!H50*B74</f>
        <v>480</v>
      </c>
      <c r="E74" s="123">
        <f>+SALES!K50*B74</f>
        <v>480</v>
      </c>
      <c r="F74" s="123">
        <f>+SALES!N50*B74</f>
        <v>480</v>
      </c>
      <c r="G74" s="123">
        <f>+SALES!Q50*B74</f>
        <v>480</v>
      </c>
      <c r="H74" s="123">
        <f>+SALES!T50*B74</f>
        <v>480</v>
      </c>
      <c r="I74" s="123">
        <f>+SALES!T50*B74</f>
        <v>480</v>
      </c>
      <c r="J74" s="123">
        <f>+SALES!Z50*B74</f>
        <v>480</v>
      </c>
      <c r="K74" s="123">
        <f>+SALES!AC50*B74</f>
        <v>480</v>
      </c>
      <c r="L74" s="123">
        <f>+SALES!AF50*B74</f>
        <v>480</v>
      </c>
      <c r="M74" s="123">
        <f>+SALES!AI50*B74</f>
        <v>480</v>
      </c>
      <c r="N74" s="123">
        <f>+SALES!AL50*B74</f>
        <v>480</v>
      </c>
      <c r="O74" s="124">
        <f>SUM(C74:N74)</f>
        <v>5520</v>
      </c>
    </row>
    <row r="75" spans="1:39" s="24" customFormat="1" ht="13.5" thickBot="1">
      <c r="A75" s="127" t="s">
        <v>692</v>
      </c>
      <c r="B75" s="128">
        <f t="shared" ref="B75:O75" si="11">SUM(B70:B74)</f>
        <v>0.27999999999999997</v>
      </c>
      <c r="C75" s="132">
        <f t="shared" si="11"/>
        <v>6720</v>
      </c>
      <c r="D75" s="132">
        <f t="shared" si="11"/>
        <v>13440</v>
      </c>
      <c r="E75" s="132">
        <f t="shared" si="11"/>
        <v>13440</v>
      </c>
      <c r="F75" s="132">
        <f t="shared" si="11"/>
        <v>13440</v>
      </c>
      <c r="G75" s="132">
        <f t="shared" si="11"/>
        <v>13440</v>
      </c>
      <c r="H75" s="132">
        <f t="shared" si="11"/>
        <v>13440</v>
      </c>
      <c r="I75" s="132">
        <f t="shared" si="11"/>
        <v>13440</v>
      </c>
      <c r="J75" s="132">
        <f t="shared" si="11"/>
        <v>13440</v>
      </c>
      <c r="K75" s="132">
        <f t="shared" si="11"/>
        <v>13440</v>
      </c>
      <c r="L75" s="132">
        <f t="shared" si="11"/>
        <v>13440</v>
      </c>
      <c r="M75" s="132">
        <f t="shared" si="11"/>
        <v>13440</v>
      </c>
      <c r="N75" s="132">
        <f t="shared" si="11"/>
        <v>13440</v>
      </c>
      <c r="O75" s="488">
        <f t="shared" si="11"/>
        <v>154560</v>
      </c>
      <c r="P75" s="113"/>
    </row>
    <row r="76" spans="1:39" s="131" customFormat="1" ht="13.5" thickBot="1">
      <c r="A76" s="118"/>
      <c r="B76" s="119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</row>
    <row r="77" spans="1:39" s="131" customFormat="1" ht="13.5" thickBot="1">
      <c r="A77" s="489" t="s">
        <v>705</v>
      </c>
      <c r="B77" s="485"/>
      <c r="C77" s="486">
        <v>3000</v>
      </c>
      <c r="D77" s="486">
        <v>3000</v>
      </c>
      <c r="E77" s="486">
        <v>3000</v>
      </c>
      <c r="F77" s="486">
        <v>3000</v>
      </c>
      <c r="G77" s="486">
        <v>3000</v>
      </c>
      <c r="H77" s="486">
        <v>3000</v>
      </c>
      <c r="I77" s="486">
        <v>3000</v>
      </c>
      <c r="J77" s="486">
        <v>3000</v>
      </c>
      <c r="K77" s="486">
        <v>3000</v>
      </c>
      <c r="L77" s="486">
        <v>3000</v>
      </c>
      <c r="M77" s="486">
        <v>3000</v>
      </c>
      <c r="N77" s="486">
        <v>3000</v>
      </c>
      <c r="O77" s="487">
        <f>SUM(C77:N77)</f>
        <v>36000</v>
      </c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</row>
    <row r="78" spans="1:39" s="131" customFormat="1" ht="13.5" thickBot="1">
      <c r="A78" s="21"/>
      <c r="B78" s="119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</row>
    <row r="79" spans="1:39" s="131" customFormat="1" ht="13.5" thickBot="1">
      <c r="A79" s="134"/>
      <c r="B79" s="130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</row>
    <row r="80" spans="1:39" s="131" customFormat="1" ht="13.5" thickBot="1">
      <c r="A80" s="135" t="s">
        <v>144</v>
      </c>
      <c r="B80" s="130">
        <f>(+B75+B68+B61+B53+B52+B48+B44+B42+B36+B29+B23+B16+B9)/13</f>
        <v>0.39769230769230768</v>
      </c>
      <c r="C80" s="132">
        <f t="shared" ref="C80:O80" si="12">+C75+C68+C61+C53+C50+C47+C42+C36+C29+C23+C16+C9+C77</f>
        <v>91372.25</v>
      </c>
      <c r="D80" s="132">
        <f t="shared" si="12"/>
        <v>131371</v>
      </c>
      <c r="E80" s="132">
        <f t="shared" si="12"/>
        <v>166350.25</v>
      </c>
      <c r="F80" s="132">
        <f t="shared" si="12"/>
        <v>184100.25</v>
      </c>
      <c r="G80" s="132">
        <f t="shared" si="12"/>
        <v>187052.75</v>
      </c>
      <c r="H80" s="132">
        <f t="shared" si="12"/>
        <v>188708.25</v>
      </c>
      <c r="I80" s="132">
        <f t="shared" si="12"/>
        <v>139644.75</v>
      </c>
      <c r="J80" s="132">
        <f t="shared" si="12"/>
        <v>109180.5</v>
      </c>
      <c r="K80" s="132">
        <f t="shared" si="12"/>
        <v>129174.75</v>
      </c>
      <c r="L80" s="132">
        <f t="shared" si="12"/>
        <v>171379.75</v>
      </c>
      <c r="M80" s="132">
        <f t="shared" si="12"/>
        <v>140853.5</v>
      </c>
      <c r="N80" s="132">
        <f t="shared" si="12"/>
        <v>127179.75</v>
      </c>
      <c r="O80" s="132">
        <f t="shared" si="12"/>
        <v>1766367.75</v>
      </c>
    </row>
    <row r="81" spans="1:3">
      <c r="A81" s="129"/>
      <c r="B81" s="119"/>
    </row>
    <row r="82" spans="1:3">
      <c r="A82" s="129"/>
      <c r="B82" s="119"/>
    </row>
    <row r="83" spans="1:3">
      <c r="A83" s="129"/>
      <c r="B83" s="119"/>
    </row>
    <row r="84" spans="1:3">
      <c r="A84" s="21"/>
      <c r="C84" s="163"/>
    </row>
  </sheetData>
  <phoneticPr fontId="0" type="noConversion"/>
  <printOptions gridLines="1"/>
  <pageMargins left="0.75" right="0.75" top="1" bottom="1" header="0.5" footer="0.5"/>
  <pageSetup scale="66" firstPageNumber="8" orientation="landscape" useFirstPageNumber="1" r:id="rId1"/>
  <headerFooter alignWithMargins="0">
    <oddHeader xml:space="preserve">&amp;C&amp;"Arial,Bold"EXECUTRAIN - DUBAI
Budget for the period Jan.02 to Dec.02
Cost of Sales Budget&amp;"Arial,Regular"
 </oddHeader>
    <oddFooter>&amp;C&amp;8Page &amp;P</oddFooter>
  </headerFooter>
  <rowBreaks count="1" manualBreakCount="1">
    <brk id="53" max="16383" man="1"/>
  </rowBreaks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8"/>
  <dimension ref="A1:I185"/>
  <sheetViews>
    <sheetView showZeros="0" workbookViewId="0">
      <selection activeCell="B28" sqref="B28"/>
    </sheetView>
  </sheetViews>
  <sheetFormatPr defaultRowHeight="12.75"/>
  <cols>
    <col min="1" max="1" width="39.28515625" customWidth="1"/>
    <col min="2" max="2" width="13.42578125" customWidth="1"/>
    <col min="3" max="3" width="14.85546875" customWidth="1"/>
    <col min="4" max="4" width="14" customWidth="1"/>
    <col min="5" max="5" width="13.5703125" customWidth="1"/>
    <col min="6" max="6" width="11.42578125" customWidth="1"/>
    <col min="7" max="7" width="13" customWidth="1"/>
    <col min="8" max="8" width="12.5703125" customWidth="1"/>
    <col min="9" max="9" width="10.140625" customWidth="1"/>
    <col min="10" max="10" width="9.28515625" customWidth="1"/>
    <col min="11" max="11" width="10.140625" customWidth="1"/>
  </cols>
  <sheetData>
    <row r="1" spans="1:4">
      <c r="B1" s="609" t="s">
        <v>463</v>
      </c>
      <c r="C1" s="609"/>
      <c r="D1" s="609"/>
    </row>
    <row r="2" spans="1:4">
      <c r="A2" s="32" t="s">
        <v>464</v>
      </c>
    </row>
    <row r="3" spans="1:4">
      <c r="A3" s="32"/>
      <c r="B3" s="32"/>
      <c r="C3" s="32"/>
      <c r="D3" s="281"/>
    </row>
    <row r="4" spans="1:4">
      <c r="A4" s="63" t="s">
        <v>465</v>
      </c>
      <c r="B4" s="108">
        <v>5684</v>
      </c>
      <c r="C4" s="63"/>
    </row>
    <row r="5" spans="1:4">
      <c r="A5" s="63"/>
      <c r="B5" s="108"/>
      <c r="C5" s="63"/>
    </row>
    <row r="6" spans="1:4">
      <c r="A6" s="32" t="s">
        <v>466</v>
      </c>
      <c r="B6" s="108"/>
      <c r="C6" s="63"/>
    </row>
    <row r="7" spans="1:4">
      <c r="A7" t="s">
        <v>712</v>
      </c>
      <c r="B7" s="52">
        <f>+'Cash Flow'!N23</f>
        <v>141790.78109090897</v>
      </c>
      <c r="C7" s="28"/>
    </row>
    <row r="8" spans="1:4">
      <c r="B8" s="28"/>
      <c r="C8" s="28"/>
    </row>
    <row r="9" spans="1:4">
      <c r="A9" s="32" t="s">
        <v>467</v>
      </c>
      <c r="B9" s="282"/>
      <c r="C9" s="28"/>
      <c r="D9" s="28"/>
    </row>
    <row r="10" spans="1:4">
      <c r="A10" s="32"/>
      <c r="B10" s="282"/>
      <c r="C10" s="28"/>
      <c r="D10" s="28"/>
    </row>
    <row r="11" spans="1:4">
      <c r="A11" s="30" t="s">
        <v>281</v>
      </c>
      <c r="B11" s="28"/>
      <c r="C11" s="28"/>
      <c r="D11" s="28"/>
    </row>
    <row r="12" spans="1:4">
      <c r="A12" t="s">
        <v>526</v>
      </c>
      <c r="B12" s="28">
        <v>985</v>
      </c>
      <c r="C12" s="28"/>
      <c r="D12" s="28"/>
    </row>
    <row r="13" spans="1:4">
      <c r="A13" t="s">
        <v>527</v>
      </c>
      <c r="B13" s="28">
        <v>1590</v>
      </c>
      <c r="C13" s="28"/>
      <c r="D13" s="28"/>
    </row>
    <row r="14" spans="1:4">
      <c r="A14" t="s">
        <v>528</v>
      </c>
      <c r="B14" s="28">
        <v>5000</v>
      </c>
      <c r="C14" s="28"/>
      <c r="D14" s="28"/>
    </row>
    <row r="15" spans="1:4">
      <c r="B15" s="283">
        <f>SUM(B12:B14)</f>
        <v>7575</v>
      </c>
      <c r="C15" s="28"/>
      <c r="D15" s="28"/>
    </row>
    <row r="16" spans="1:4">
      <c r="A16" s="30" t="s">
        <v>468</v>
      </c>
      <c r="C16" s="28"/>
      <c r="D16" s="28"/>
    </row>
    <row r="17" spans="1:7">
      <c r="B17" s="31"/>
      <c r="C17" s="28"/>
      <c r="D17" s="28"/>
    </row>
    <row r="18" spans="1:7">
      <c r="A18" t="s">
        <v>469</v>
      </c>
      <c r="B18" s="284">
        <f>24106+4190</f>
        <v>28296</v>
      </c>
      <c r="C18" s="28"/>
      <c r="D18" s="28"/>
    </row>
    <row r="19" spans="1:7">
      <c r="A19" t="s">
        <v>470</v>
      </c>
      <c r="B19" s="284">
        <v>0</v>
      </c>
      <c r="C19" s="28"/>
      <c r="D19" s="28"/>
    </row>
    <row r="20" spans="1:7">
      <c r="A20" t="s">
        <v>471</v>
      </c>
      <c r="B20" s="14">
        <v>0</v>
      </c>
      <c r="C20" s="28"/>
      <c r="D20" s="28"/>
    </row>
    <row r="21" spans="1:7">
      <c r="A21" t="s">
        <v>472</v>
      </c>
      <c r="B21" s="285">
        <f>SUM(B18+B19-B20)</f>
        <v>28296</v>
      </c>
      <c r="C21" s="28"/>
      <c r="D21" s="28"/>
    </row>
    <row r="22" spans="1:7">
      <c r="B22" s="28"/>
      <c r="C22" s="28"/>
      <c r="D22" s="28"/>
    </row>
    <row r="23" spans="1:7">
      <c r="A23" s="32" t="s">
        <v>473</v>
      </c>
      <c r="B23" s="282"/>
      <c r="C23" s="282"/>
      <c r="D23" s="28"/>
    </row>
    <row r="24" spans="1:7">
      <c r="B24" s="28"/>
      <c r="C24" s="28"/>
      <c r="D24" s="28"/>
    </row>
    <row r="25" spans="1:7">
      <c r="A25" t="s">
        <v>474</v>
      </c>
      <c r="B25" s="28"/>
      <c r="C25" s="28"/>
      <c r="D25" s="28"/>
    </row>
    <row r="26" spans="1:7">
      <c r="A26" t="s">
        <v>469</v>
      </c>
      <c r="B26" s="45">
        <v>478358</v>
      </c>
      <c r="C26" s="45"/>
      <c r="D26" s="52"/>
      <c r="E26" s="52"/>
      <c r="F26" s="52"/>
      <c r="G26" s="28"/>
    </row>
    <row r="27" spans="1:7">
      <c r="A27" t="s">
        <v>475</v>
      </c>
      <c r="B27" s="45">
        <f>+SALES!AM55</f>
        <v>4675000</v>
      </c>
      <c r="C27" s="45"/>
      <c r="D27" s="52"/>
      <c r="E27" s="45"/>
      <c r="F27" s="45"/>
      <c r="G27" s="52"/>
    </row>
    <row r="28" spans="1:7">
      <c r="A28" t="s">
        <v>476</v>
      </c>
      <c r="B28" s="45">
        <f>+'Cash Flow'!O7+'Cash Flow'!O8</f>
        <v>5227500</v>
      </c>
      <c r="C28" s="45"/>
      <c r="D28" s="52"/>
      <c r="E28" s="45"/>
      <c r="F28" s="45"/>
      <c r="G28" s="52"/>
    </row>
    <row r="29" spans="1:7">
      <c r="B29" s="45"/>
      <c r="C29" s="45"/>
      <c r="D29" s="52"/>
      <c r="E29" s="45"/>
      <c r="F29" s="45"/>
    </row>
    <row r="30" spans="1:7">
      <c r="A30" t="s">
        <v>472</v>
      </c>
      <c r="B30" s="285">
        <f>SUM(B26+B27-B28)</f>
        <v>-74142</v>
      </c>
      <c r="C30" s="14"/>
    </row>
    <row r="31" spans="1:7">
      <c r="B31" s="28"/>
      <c r="C31" s="28"/>
      <c r="D31" s="28"/>
    </row>
    <row r="32" spans="1:7">
      <c r="A32" t="s">
        <v>477</v>
      </c>
      <c r="B32" s="28"/>
      <c r="C32" s="28"/>
      <c r="D32" s="28"/>
    </row>
    <row r="33" spans="1:9">
      <c r="A33" t="s">
        <v>478</v>
      </c>
      <c r="B33" s="28">
        <v>0</v>
      </c>
      <c r="C33" s="28"/>
      <c r="D33" s="28"/>
    </row>
    <row r="34" spans="1:9">
      <c r="A34" t="s">
        <v>479</v>
      </c>
      <c r="B34" s="28">
        <v>0</v>
      </c>
      <c r="C34" s="28"/>
      <c r="D34" s="28"/>
    </row>
    <row r="35" spans="1:9">
      <c r="B35" s="283">
        <f>SUM(B33:B34)</f>
        <v>0</v>
      </c>
      <c r="C35" s="28"/>
      <c r="D35" s="28"/>
    </row>
    <row r="36" spans="1:9">
      <c r="B36" s="28"/>
      <c r="C36" s="28"/>
      <c r="D36" s="28"/>
    </row>
    <row r="37" spans="1:9">
      <c r="A37" s="30" t="s">
        <v>480</v>
      </c>
      <c r="B37" s="286">
        <f>B30+B35</f>
        <v>-74142</v>
      </c>
      <c r="C37" s="286"/>
    </row>
    <row r="38" spans="1:9">
      <c r="B38" s="28"/>
      <c r="C38" s="28"/>
      <c r="D38" s="28"/>
    </row>
    <row r="39" spans="1:9">
      <c r="C39" s="28"/>
      <c r="D39" s="28"/>
    </row>
    <row r="40" spans="1:9">
      <c r="A40" s="32" t="s">
        <v>481</v>
      </c>
      <c r="B40" s="28"/>
      <c r="C40" s="28"/>
      <c r="D40" s="28"/>
    </row>
    <row r="41" spans="1:9">
      <c r="B41" s="28"/>
      <c r="C41" s="28"/>
      <c r="D41" s="28"/>
    </row>
    <row r="42" spans="1:9">
      <c r="A42" s="30" t="s">
        <v>289</v>
      </c>
      <c r="B42" s="287" t="s">
        <v>65</v>
      </c>
      <c r="C42" s="287" t="s">
        <v>482</v>
      </c>
      <c r="D42" s="287" t="s">
        <v>483</v>
      </c>
      <c r="E42" s="31" t="s">
        <v>484</v>
      </c>
      <c r="F42" s="31" t="s">
        <v>485</v>
      </c>
      <c r="G42" s="30" t="s">
        <v>486</v>
      </c>
      <c r="H42" s="31" t="s">
        <v>153</v>
      </c>
      <c r="I42" s="31" t="s">
        <v>5</v>
      </c>
    </row>
    <row r="43" spans="1:9">
      <c r="A43" t="s">
        <v>469</v>
      </c>
      <c r="B43" s="52">
        <v>42846</v>
      </c>
      <c r="C43" s="52">
        <f>'[3]B.S SCHEDULES'!C43</f>
        <v>0</v>
      </c>
      <c r="D43" s="52">
        <v>4070</v>
      </c>
      <c r="E43" s="52">
        <v>789</v>
      </c>
      <c r="F43" s="52">
        <v>9209</v>
      </c>
      <c r="G43" s="52">
        <v>4574</v>
      </c>
      <c r="H43" s="52">
        <f>7385+600</f>
        <v>7985</v>
      </c>
      <c r="I43" s="45">
        <f>SUM(B43:H43)</f>
        <v>69473</v>
      </c>
    </row>
    <row r="44" spans="1:9">
      <c r="A44" t="s">
        <v>487</v>
      </c>
      <c r="B44" s="45">
        <f>+CostFlow!O21</f>
        <v>342768</v>
      </c>
      <c r="C44" s="45"/>
      <c r="D44" s="52">
        <f>CostFlow!M57</f>
        <v>4500</v>
      </c>
      <c r="E44" s="52">
        <f>CostFlow!O56</f>
        <v>1116</v>
      </c>
      <c r="F44" s="52">
        <f>+'GEN. O.H'!R38</f>
        <v>15816</v>
      </c>
      <c r="G44" s="52">
        <f>CostFlow!O14</f>
        <v>43472</v>
      </c>
      <c r="H44" s="266">
        <f>+CostFlow!O37</f>
        <v>11725</v>
      </c>
      <c r="I44" s="45">
        <f>SUM(B44:H44)</f>
        <v>419397</v>
      </c>
    </row>
    <row r="45" spans="1:9">
      <c r="A45" t="s">
        <v>488</v>
      </c>
      <c r="B45" s="52">
        <f>+'GEN. O.H'!R21</f>
        <v>318768</v>
      </c>
      <c r="C45" s="52"/>
      <c r="D45" s="52">
        <f>'GEN. O.H'!R58</f>
        <v>4635</v>
      </c>
      <c r="E45" s="52">
        <f>'GEN. O.H'!R57</f>
        <v>1116</v>
      </c>
      <c r="F45" s="52">
        <f>'GEN. O.H'!R38</f>
        <v>15816</v>
      </c>
      <c r="G45" s="52">
        <f>'GEN. O.H'!R13</f>
        <v>34018.58181818181</v>
      </c>
      <c r="H45" s="45">
        <f>'GEN. O.H'!R37</f>
        <v>22821.763636363637</v>
      </c>
      <c r="I45" s="45">
        <f>SUM(B45:H45)</f>
        <v>397175.3454545454</v>
      </c>
    </row>
    <row r="46" spans="1:9">
      <c r="A46" t="s">
        <v>472</v>
      </c>
      <c r="B46" s="343">
        <f t="shared" ref="B46:I46" si="0">SUM(B43+B44-B45)</f>
        <v>66846</v>
      </c>
      <c r="C46" s="25">
        <f t="shared" si="0"/>
        <v>0</v>
      </c>
      <c r="D46" s="25">
        <f t="shared" si="0"/>
        <v>3935</v>
      </c>
      <c r="E46" s="25">
        <f t="shared" si="0"/>
        <v>789</v>
      </c>
      <c r="F46" s="25">
        <f t="shared" si="0"/>
        <v>9209</v>
      </c>
      <c r="G46" s="25">
        <f t="shared" si="0"/>
        <v>14027.41818181819</v>
      </c>
      <c r="H46" s="25">
        <f t="shared" si="0"/>
        <v>-3111.7636363636375</v>
      </c>
      <c r="I46" s="285">
        <f t="shared" si="0"/>
        <v>91694.654545454599</v>
      </c>
    </row>
    <row r="47" spans="1:9">
      <c r="B47" s="28"/>
      <c r="C47" s="28"/>
      <c r="D47" s="28"/>
    </row>
    <row r="48" spans="1:9">
      <c r="A48" s="30" t="s">
        <v>489</v>
      </c>
      <c r="B48" s="286">
        <f>I46</f>
        <v>91694.654545454599</v>
      </c>
      <c r="C48" s="286"/>
      <c r="D48" s="28"/>
    </row>
    <row r="49" spans="1:9">
      <c r="B49" s="28"/>
      <c r="C49" s="28"/>
      <c r="D49" s="28"/>
    </row>
    <row r="50" spans="1:9">
      <c r="A50" s="32" t="s">
        <v>490</v>
      </c>
      <c r="B50" s="28"/>
      <c r="C50" s="28"/>
      <c r="D50" s="28"/>
    </row>
    <row r="51" spans="1:9">
      <c r="B51" s="28">
        <v>0</v>
      </c>
      <c r="C51" s="28"/>
      <c r="D51" s="28"/>
    </row>
    <row r="52" spans="1:9">
      <c r="B52" s="28"/>
      <c r="C52" s="28"/>
    </row>
    <row r="53" spans="1:9">
      <c r="B53" s="283">
        <f>SUM(B51:B52)</f>
        <v>0</v>
      </c>
      <c r="C53" s="288"/>
      <c r="D53" s="28"/>
    </row>
    <row r="54" spans="1:9">
      <c r="B54" s="28"/>
      <c r="C54" s="28"/>
      <c r="D54" s="28"/>
    </row>
    <row r="55" spans="1:9">
      <c r="A55" s="32" t="s">
        <v>491</v>
      </c>
      <c r="B55" s="28"/>
      <c r="C55" s="28"/>
      <c r="D55" s="28"/>
    </row>
    <row r="56" spans="1:9">
      <c r="B56" s="31" t="s">
        <v>492</v>
      </c>
      <c r="C56" s="31" t="s">
        <v>493</v>
      </c>
      <c r="D56" s="31" t="s">
        <v>136</v>
      </c>
      <c r="E56" s="31" t="s">
        <v>494</v>
      </c>
      <c r="F56" s="31" t="s">
        <v>153</v>
      </c>
      <c r="G56" s="31" t="s">
        <v>495</v>
      </c>
      <c r="H56" s="31" t="s">
        <v>496</v>
      </c>
      <c r="I56" s="31" t="s">
        <v>5</v>
      </c>
    </row>
    <row r="57" spans="1:9">
      <c r="A57" t="s">
        <v>469</v>
      </c>
      <c r="B57" s="52">
        <v>575566</v>
      </c>
      <c r="C57" s="52">
        <v>83435</v>
      </c>
      <c r="D57" s="52">
        <v>0</v>
      </c>
      <c r="E57" s="52">
        <v>0</v>
      </c>
      <c r="F57" s="52">
        <f>88234+1700</f>
        <v>89934</v>
      </c>
      <c r="G57" s="266">
        <v>108</v>
      </c>
      <c r="H57" s="266">
        <v>30839</v>
      </c>
      <c r="I57" s="266">
        <f>SUM(B57:H57)</f>
        <v>779882</v>
      </c>
    </row>
    <row r="58" spans="1:9">
      <c r="A58" t="s">
        <v>497</v>
      </c>
      <c r="B58" s="52">
        <f>C68</f>
        <v>1954367.75</v>
      </c>
      <c r="C58" s="266">
        <f>+'GEN. O.H'!R50</f>
        <v>9996</v>
      </c>
      <c r="D58" s="52"/>
      <c r="E58" s="52">
        <v>0</v>
      </c>
      <c r="F58" s="52"/>
      <c r="G58" s="266"/>
      <c r="H58" s="266"/>
      <c r="I58" s="266">
        <f>SUM(B58:H58)</f>
        <v>1964363.75</v>
      </c>
    </row>
    <row r="59" spans="1:9">
      <c r="A59" t="s">
        <v>498</v>
      </c>
      <c r="B59" s="52">
        <f>D68</f>
        <v>2492941</v>
      </c>
      <c r="C59" s="266">
        <f>+CostFlow!O49</f>
        <v>10000</v>
      </c>
      <c r="D59" s="52"/>
      <c r="E59" s="52">
        <v>0</v>
      </c>
      <c r="F59" s="52"/>
      <c r="G59" s="266"/>
      <c r="H59" s="266"/>
      <c r="I59" s="266">
        <f>SUM(B59:H59)</f>
        <v>2502941</v>
      </c>
    </row>
    <row r="60" spans="1:9">
      <c r="A60" t="s">
        <v>472</v>
      </c>
      <c r="B60" s="285">
        <f t="shared" ref="B60:I60" si="1">SUM(B57+B58-B59)</f>
        <v>36992.75</v>
      </c>
      <c r="C60" s="285">
        <f t="shared" si="1"/>
        <v>83431</v>
      </c>
      <c r="D60" s="285">
        <f t="shared" si="1"/>
        <v>0</v>
      </c>
      <c r="E60" s="285">
        <f t="shared" si="1"/>
        <v>0</v>
      </c>
      <c r="F60" s="285">
        <f t="shared" si="1"/>
        <v>89934</v>
      </c>
      <c r="G60" s="285">
        <f t="shared" si="1"/>
        <v>108</v>
      </c>
      <c r="H60" s="285">
        <f t="shared" si="1"/>
        <v>30839</v>
      </c>
      <c r="I60" s="285">
        <f t="shared" si="1"/>
        <v>241304.75</v>
      </c>
    </row>
    <row r="61" spans="1:9">
      <c r="B61" s="28"/>
      <c r="C61" s="28"/>
      <c r="D61" s="28"/>
    </row>
    <row r="62" spans="1:9">
      <c r="A62" s="289" t="s">
        <v>499</v>
      </c>
      <c r="B62" s="28"/>
      <c r="C62" s="28"/>
      <c r="D62" s="28"/>
    </row>
    <row r="63" spans="1:9">
      <c r="B63" s="290" t="s">
        <v>500</v>
      </c>
      <c r="C63" s="290" t="s">
        <v>501</v>
      </c>
      <c r="D63" s="290" t="s">
        <v>502</v>
      </c>
      <c r="E63" s="291" t="s">
        <v>503</v>
      </c>
    </row>
    <row r="64" spans="1:9">
      <c r="B64" s="290"/>
      <c r="C64" s="290"/>
      <c r="D64" s="290"/>
      <c r="E64" s="291"/>
    </row>
    <row r="65" spans="1:7">
      <c r="B65" s="52">
        <f>B57</f>
        <v>575566</v>
      </c>
      <c r="C65" s="52">
        <f>+COS!O80</f>
        <v>1766367.75</v>
      </c>
      <c r="D65" s="52">
        <f>+CostFlow!O171+B65</f>
        <v>2312941</v>
      </c>
      <c r="E65" s="45">
        <f>+B65+C65-D65</f>
        <v>28992.75</v>
      </c>
    </row>
    <row r="66" spans="1:7">
      <c r="A66" t="s">
        <v>95</v>
      </c>
      <c r="B66" s="52"/>
      <c r="C66" s="52">
        <f>+'GEN. O.H'!R68</f>
        <v>188000</v>
      </c>
      <c r="D66" s="52">
        <f>CostFlow!O67</f>
        <v>180000</v>
      </c>
      <c r="E66" s="45">
        <f>B66+C66-D66</f>
        <v>8000</v>
      </c>
    </row>
    <row r="67" spans="1:7">
      <c r="B67" s="52"/>
      <c r="C67" s="52"/>
      <c r="D67" s="52"/>
      <c r="E67" s="45"/>
    </row>
    <row r="68" spans="1:7">
      <c r="B68" s="292">
        <f>SUM(B65:B67)</f>
        <v>575566</v>
      </c>
      <c r="C68" s="292">
        <f>SUM(C65:C67)</f>
        <v>1954367.75</v>
      </c>
      <c r="D68" s="292">
        <f>SUM(D65:D67)</f>
        <v>2492941</v>
      </c>
      <c r="E68" s="292">
        <f>SUM(E65:E67)</f>
        <v>36992.75</v>
      </c>
    </row>
    <row r="69" spans="1:7">
      <c r="B69" s="28"/>
      <c r="C69" s="28"/>
      <c r="D69" s="28"/>
    </row>
    <row r="70" spans="1:7">
      <c r="B70" s="28"/>
      <c r="C70" s="28"/>
      <c r="D70" s="28"/>
    </row>
    <row r="71" spans="1:7">
      <c r="A71" s="32" t="s">
        <v>504</v>
      </c>
      <c r="B71" s="28"/>
      <c r="C71" s="28"/>
      <c r="D71" s="28"/>
    </row>
    <row r="72" spans="1:7">
      <c r="B72" s="31" t="s">
        <v>53</v>
      </c>
      <c r="C72" s="31" t="s">
        <v>505</v>
      </c>
      <c r="D72" s="287" t="s">
        <v>309</v>
      </c>
      <c r="E72" s="31" t="s">
        <v>55</v>
      </c>
      <c r="F72" s="31" t="s">
        <v>153</v>
      </c>
      <c r="G72" s="31" t="s">
        <v>5</v>
      </c>
    </row>
    <row r="73" spans="1:7">
      <c r="A73" t="s">
        <v>469</v>
      </c>
      <c r="B73" s="52">
        <v>112909</v>
      </c>
      <c r="C73" s="52">
        <v>2315</v>
      </c>
      <c r="D73" s="52">
        <v>23441</v>
      </c>
      <c r="E73" s="52">
        <v>90337</v>
      </c>
      <c r="F73" s="52">
        <v>0</v>
      </c>
      <c r="G73" s="45">
        <f>SUM(B73:F73)</f>
        <v>229002</v>
      </c>
    </row>
    <row r="74" spans="1:7">
      <c r="A74" t="s">
        <v>506</v>
      </c>
      <c r="B74" s="52">
        <f>+'GEN. O.H'!R7</f>
        <v>0</v>
      </c>
      <c r="C74" s="266">
        <f>+'GEN. O.H'!R14+'GEN. O.H'!R15</f>
        <v>73714.20454545453</v>
      </c>
      <c r="D74" s="52">
        <f>+'GEN. O.H'!R8</f>
        <v>27500.000000000011</v>
      </c>
      <c r="E74" s="52">
        <f>+'GEN. O.H'!R9</f>
        <v>59149.999999999993</v>
      </c>
      <c r="G74" s="45">
        <f>SUM(B74:F74)</f>
        <v>160364.20454545453</v>
      </c>
    </row>
    <row r="75" spans="1:7">
      <c r="A75" t="s">
        <v>498</v>
      </c>
      <c r="B75" s="52">
        <f>+CostFlow!O8</f>
        <v>0</v>
      </c>
      <c r="C75" s="266">
        <f>CostFlow!O16+CostFlow!O15</f>
        <v>73714.20454545453</v>
      </c>
      <c r="D75" s="52">
        <f>CostFlow!O9</f>
        <v>27500.000000000011</v>
      </c>
      <c r="E75" s="52">
        <f>'[2]COST FLOW'!O10</f>
        <v>0</v>
      </c>
      <c r="G75" s="45">
        <f>SUM(B75:F75)</f>
        <v>101214.20454545454</v>
      </c>
    </row>
    <row r="76" spans="1:7">
      <c r="A76" t="s">
        <v>472</v>
      </c>
      <c r="B76" s="293">
        <f t="shared" ref="B76:G76" si="2">SUM(B73+B74-B75)</f>
        <v>112909</v>
      </c>
      <c r="C76" s="293">
        <f t="shared" si="2"/>
        <v>2315</v>
      </c>
      <c r="D76" s="293">
        <f t="shared" si="2"/>
        <v>23441.000000000004</v>
      </c>
      <c r="E76" s="293">
        <f t="shared" si="2"/>
        <v>149487</v>
      </c>
      <c r="F76" s="293">
        <f t="shared" si="2"/>
        <v>0</v>
      </c>
      <c r="G76" s="285">
        <f t="shared" si="2"/>
        <v>288152</v>
      </c>
    </row>
    <row r="77" spans="1:7">
      <c r="B77" s="52"/>
      <c r="C77" s="52"/>
      <c r="D77" s="52"/>
      <c r="E77" s="52"/>
      <c r="F77" s="52"/>
    </row>
    <row r="78" spans="1:7">
      <c r="B78" s="28"/>
      <c r="C78" s="28"/>
      <c r="D78" s="28"/>
    </row>
    <row r="79" spans="1:7">
      <c r="A79" s="32" t="s">
        <v>507</v>
      </c>
      <c r="B79" s="28"/>
      <c r="C79" s="28"/>
      <c r="D79" s="28"/>
    </row>
    <row r="80" spans="1:7">
      <c r="B80" s="287" t="s">
        <v>508</v>
      </c>
      <c r="C80" s="287" t="s">
        <v>509</v>
      </c>
      <c r="D80" s="31" t="s">
        <v>510</v>
      </c>
    </row>
    <row r="81" spans="1:5">
      <c r="A81" t="s">
        <v>106</v>
      </c>
      <c r="B81" s="52">
        <v>166903.75</v>
      </c>
      <c r="C81" s="52">
        <f>92353+'GEN. O.H'!R88</f>
        <v>117388.59999999999</v>
      </c>
      <c r="D81" s="45">
        <f t="shared" ref="D81:D93" si="3">B81-C81</f>
        <v>49515.150000000009</v>
      </c>
    </row>
    <row r="82" spans="1:5">
      <c r="A82" t="s">
        <v>511</v>
      </c>
      <c r="B82" s="52"/>
      <c r="C82" s="52">
        <f>'[3]B.S SCHEDULES'!D86+'[2]GEN. O.H'!Q85</f>
        <v>0</v>
      </c>
      <c r="D82" s="45">
        <f t="shared" si="3"/>
        <v>0</v>
      </c>
    </row>
    <row r="83" spans="1:5">
      <c r="A83" t="s">
        <v>512</v>
      </c>
      <c r="B83" s="52">
        <v>617654</v>
      </c>
      <c r="C83" s="52">
        <f>408772+'GEN. O.H'!R90</f>
        <v>507076</v>
      </c>
      <c r="D83" s="45">
        <f t="shared" si="3"/>
        <v>110578</v>
      </c>
    </row>
    <row r="84" spans="1:5">
      <c r="A84" t="s">
        <v>513</v>
      </c>
      <c r="B84" s="52">
        <v>35870</v>
      </c>
      <c r="C84" s="52">
        <f>35870+'GEN. O.H'!R91</f>
        <v>35870</v>
      </c>
      <c r="D84" s="45">
        <f t="shared" si="3"/>
        <v>0</v>
      </c>
    </row>
    <row r="85" spans="1:5">
      <c r="A85" t="s">
        <v>110</v>
      </c>
      <c r="B85" s="490">
        <f>612832+Capex!F11</f>
        <v>617832</v>
      </c>
      <c r="C85" s="52">
        <f>405422+'GEN. O.H'!R92</f>
        <v>530321.78333333333</v>
      </c>
      <c r="D85" s="45">
        <f t="shared" si="3"/>
        <v>87510.216666666674</v>
      </c>
    </row>
    <row r="86" spans="1:5">
      <c r="A86" t="s">
        <v>111</v>
      </c>
      <c r="B86" s="52">
        <v>0</v>
      </c>
      <c r="C86" s="52">
        <v>0</v>
      </c>
      <c r="D86" s="45">
        <f t="shared" si="3"/>
        <v>0</v>
      </c>
    </row>
    <row r="87" spans="1:5">
      <c r="A87" t="s">
        <v>112</v>
      </c>
      <c r="B87" s="52">
        <v>14950</v>
      </c>
      <c r="C87" s="52">
        <f>11960+'GEN. O.H'!R94</f>
        <v>11960</v>
      </c>
      <c r="D87" s="45">
        <f t="shared" si="3"/>
        <v>2990</v>
      </c>
    </row>
    <row r="88" spans="1:5">
      <c r="A88" t="s">
        <v>514</v>
      </c>
      <c r="B88" s="52">
        <v>5000</v>
      </c>
      <c r="C88" s="52">
        <f>4000+'GEN. O.H'!R95</f>
        <v>4000</v>
      </c>
      <c r="D88" s="45">
        <f t="shared" si="3"/>
        <v>1000</v>
      </c>
    </row>
    <row r="89" spans="1:5">
      <c r="A89" t="s">
        <v>515</v>
      </c>
      <c r="B89" s="52">
        <f>23589.25+Capex!F13</f>
        <v>26589.25</v>
      </c>
      <c r="C89" s="52">
        <f>20141+'GEN. O.H'!R96</f>
        <v>25042.850000000002</v>
      </c>
      <c r="D89" s="45">
        <f t="shared" si="3"/>
        <v>1546.3999999999978</v>
      </c>
    </row>
    <row r="90" spans="1:5">
      <c r="A90" t="s">
        <v>516</v>
      </c>
      <c r="B90" s="52">
        <f>191671+Capex!F16</f>
        <v>194171</v>
      </c>
      <c r="C90" s="52">
        <f>94149+3878+'GEN. O.H'!R97</f>
        <v>136317.80000000002</v>
      </c>
      <c r="D90" s="45">
        <f t="shared" si="3"/>
        <v>57853.199999999983</v>
      </c>
    </row>
    <row r="91" spans="1:5">
      <c r="A91" t="s">
        <v>517</v>
      </c>
      <c r="B91" s="52">
        <v>33125.94</v>
      </c>
      <c r="C91" s="52">
        <f>33125.9+'GEN. O.H'!R98</f>
        <v>33817.950909090912</v>
      </c>
      <c r="D91" s="45">
        <f t="shared" si="3"/>
        <v>-692.01090909090999</v>
      </c>
    </row>
    <row r="92" spans="1:5">
      <c r="A92" t="s">
        <v>518</v>
      </c>
      <c r="B92" s="490">
        <f>15840.81+1486</f>
        <v>17326.809999999998</v>
      </c>
      <c r="C92" s="52">
        <f>15841+'GEN. O.H'!R99</f>
        <v>15841</v>
      </c>
      <c r="D92" s="45">
        <f t="shared" si="3"/>
        <v>1485.8099999999977</v>
      </c>
    </row>
    <row r="93" spans="1:5">
      <c r="A93" t="s">
        <v>118</v>
      </c>
      <c r="B93" s="14">
        <f>[2]CAPEX!E12</f>
        <v>0</v>
      </c>
      <c r="C93" s="52">
        <f>'[2]GEN. O.H'!Q96</f>
        <v>0</v>
      </c>
      <c r="D93" s="45">
        <f t="shared" si="3"/>
        <v>0</v>
      </c>
    </row>
    <row r="94" spans="1:5">
      <c r="A94" s="31" t="s">
        <v>5</v>
      </c>
      <c r="B94" s="285">
        <f>SUM(B81:B93)</f>
        <v>1729422.75</v>
      </c>
      <c r="C94" s="285">
        <f>SUM(C81:C93)</f>
        <v>1417635.9842424244</v>
      </c>
      <c r="D94" s="285">
        <f>SUM(D81:D93)</f>
        <v>311786.76575757575</v>
      </c>
      <c r="E94" s="285"/>
    </row>
    <row r="95" spans="1:5">
      <c r="B95" s="28"/>
      <c r="C95" s="28"/>
      <c r="D95" s="28"/>
    </row>
    <row r="96" spans="1:5">
      <c r="B96" s="28"/>
      <c r="C96" s="28"/>
      <c r="D96" s="28"/>
    </row>
    <row r="97" spans="1:4">
      <c r="A97" s="32" t="s">
        <v>519</v>
      </c>
      <c r="B97" s="28"/>
      <c r="C97" s="28"/>
      <c r="D97" s="28">
        <v>0</v>
      </c>
    </row>
    <row r="98" spans="1:4">
      <c r="A98" s="32"/>
      <c r="B98" s="28"/>
      <c r="C98" s="28"/>
      <c r="D98" s="28"/>
    </row>
    <row r="99" spans="1:4">
      <c r="A99" s="63" t="s">
        <v>247</v>
      </c>
      <c r="B99" s="28">
        <v>0</v>
      </c>
      <c r="C99" s="28"/>
      <c r="D99" s="28"/>
    </row>
    <row r="100" spans="1:4">
      <c r="A100" s="63" t="s">
        <v>529</v>
      </c>
      <c r="B100" s="28">
        <v>0</v>
      </c>
      <c r="C100" s="28"/>
      <c r="D100" s="28"/>
    </row>
    <row r="101" spans="1:4">
      <c r="A101" s="63" t="s">
        <v>520</v>
      </c>
      <c r="B101" s="28">
        <v>0</v>
      </c>
      <c r="C101" s="28"/>
      <c r="D101" s="28"/>
    </row>
    <row r="102" spans="1:4">
      <c r="A102" s="63" t="s">
        <v>247</v>
      </c>
      <c r="B102" s="283">
        <f>B100-B101</f>
        <v>0</v>
      </c>
      <c r="C102" s="28"/>
      <c r="D102" s="28"/>
    </row>
    <row r="103" spans="1:4">
      <c r="A103" s="32"/>
      <c r="B103" s="28"/>
      <c r="C103" s="28"/>
      <c r="D103" s="28"/>
    </row>
    <row r="104" spans="1:4">
      <c r="A104" s="32" t="s">
        <v>521</v>
      </c>
      <c r="B104" s="28"/>
      <c r="C104" s="28"/>
      <c r="D104" s="28">
        <v>0</v>
      </c>
    </row>
    <row r="105" spans="1:4">
      <c r="B105" s="28"/>
      <c r="C105" s="28"/>
      <c r="D105" s="28"/>
    </row>
    <row r="106" spans="1:4">
      <c r="A106" s="63" t="s">
        <v>247</v>
      </c>
      <c r="B106" s="28">
        <v>44332</v>
      </c>
      <c r="C106" s="28"/>
      <c r="D106" s="28"/>
    </row>
    <row r="107" spans="1:4">
      <c r="A107" s="63" t="s">
        <v>520</v>
      </c>
      <c r="B107" s="28">
        <f>+'GEN. O.H'!R105</f>
        <v>16836</v>
      </c>
      <c r="C107" s="28"/>
      <c r="D107" s="28"/>
    </row>
    <row r="108" spans="1:4">
      <c r="A108" s="63" t="s">
        <v>247</v>
      </c>
      <c r="B108" s="283">
        <f>B106-B107</f>
        <v>27496</v>
      </c>
      <c r="C108" s="28"/>
      <c r="D108" s="28"/>
    </row>
    <row r="109" spans="1:4">
      <c r="B109" s="28"/>
      <c r="C109" s="28"/>
    </row>
    <row r="110" spans="1:4">
      <c r="B110" s="28"/>
      <c r="C110" s="28"/>
      <c r="D110" s="28"/>
    </row>
    <row r="111" spans="1:4">
      <c r="A111" s="32" t="s">
        <v>522</v>
      </c>
      <c r="B111" s="28"/>
      <c r="C111" s="28"/>
      <c r="D111" s="28">
        <f>300000</f>
        <v>300000</v>
      </c>
    </row>
    <row r="112" spans="1:4">
      <c r="B112" s="28"/>
      <c r="C112" s="28"/>
      <c r="D112" s="28"/>
    </row>
    <row r="113" spans="1:4">
      <c r="B113" s="28"/>
      <c r="C113" s="28"/>
      <c r="D113" s="28"/>
    </row>
    <row r="114" spans="1:4">
      <c r="A114" s="32" t="s">
        <v>523</v>
      </c>
      <c r="B114" s="28"/>
      <c r="C114" s="28"/>
      <c r="D114" s="494">
        <v>3957408</v>
      </c>
    </row>
    <row r="115" spans="1:4">
      <c r="B115" s="28"/>
      <c r="C115" s="28"/>
      <c r="D115" s="28"/>
    </row>
    <row r="116" spans="1:4">
      <c r="B116" s="28"/>
      <c r="C116" s="28"/>
      <c r="D116" s="28"/>
    </row>
    <row r="117" spans="1:4">
      <c r="A117" s="32" t="s">
        <v>524</v>
      </c>
      <c r="B117" s="28"/>
      <c r="C117" s="28"/>
      <c r="D117" s="28"/>
    </row>
    <row r="118" spans="1:4">
      <c r="A118" t="s">
        <v>525</v>
      </c>
      <c r="B118" s="28"/>
      <c r="C118" s="28"/>
      <c r="D118" s="28"/>
    </row>
    <row r="119" spans="1:4">
      <c r="B119" s="28"/>
      <c r="C119" s="28"/>
      <c r="D119" s="294">
        <v>0</v>
      </c>
    </row>
    <row r="120" spans="1:4">
      <c r="B120" s="28"/>
      <c r="C120" s="28"/>
      <c r="D120" s="28"/>
    </row>
    <row r="121" spans="1:4">
      <c r="B121" s="28"/>
      <c r="C121" s="28"/>
      <c r="D121" s="28"/>
    </row>
    <row r="122" spans="1:4">
      <c r="B122" s="28"/>
      <c r="C122" s="28"/>
      <c r="D122" s="28"/>
    </row>
    <row r="123" spans="1:4">
      <c r="B123" s="28"/>
      <c r="C123" s="28"/>
      <c r="D123" s="28"/>
    </row>
    <row r="124" spans="1:4">
      <c r="B124" s="28"/>
      <c r="C124" s="28"/>
      <c r="D124" s="28"/>
    </row>
    <row r="125" spans="1:4">
      <c r="B125" s="28"/>
      <c r="C125" s="28"/>
      <c r="D125" s="28"/>
    </row>
    <row r="126" spans="1:4">
      <c r="B126" s="28"/>
      <c r="C126" s="28"/>
      <c r="D126" s="28"/>
    </row>
    <row r="127" spans="1:4">
      <c r="B127" s="28"/>
      <c r="C127" s="28"/>
      <c r="D127" s="28"/>
    </row>
    <row r="128" spans="1:4">
      <c r="B128" s="28"/>
      <c r="C128" s="28"/>
      <c r="D128" s="28"/>
    </row>
    <row r="129" spans="2:4">
      <c r="B129" s="28"/>
      <c r="C129" s="28"/>
      <c r="D129" s="28"/>
    </row>
    <row r="130" spans="2:4">
      <c r="B130" s="28"/>
      <c r="C130" s="28"/>
      <c r="D130" s="28"/>
    </row>
    <row r="131" spans="2:4">
      <c r="B131" s="28"/>
      <c r="C131" s="28"/>
      <c r="D131" s="28"/>
    </row>
    <row r="132" spans="2:4">
      <c r="B132" s="28"/>
      <c r="C132" s="28"/>
      <c r="D132" s="28"/>
    </row>
    <row r="133" spans="2:4">
      <c r="B133" s="28"/>
      <c r="C133" s="28"/>
      <c r="D133" s="28"/>
    </row>
    <row r="134" spans="2:4">
      <c r="B134" s="28"/>
      <c r="C134" s="28"/>
      <c r="D134" s="28"/>
    </row>
    <row r="135" spans="2:4">
      <c r="B135" s="28"/>
      <c r="C135" s="28"/>
      <c r="D135" s="28"/>
    </row>
    <row r="136" spans="2:4">
      <c r="B136" s="28"/>
      <c r="C136" s="28"/>
      <c r="D136" s="28"/>
    </row>
    <row r="137" spans="2:4">
      <c r="B137" s="28"/>
      <c r="C137" s="28"/>
      <c r="D137" s="28"/>
    </row>
    <row r="138" spans="2:4">
      <c r="B138" s="28"/>
      <c r="C138" s="28"/>
      <c r="D138" s="28"/>
    </row>
    <row r="139" spans="2:4">
      <c r="B139" s="28"/>
      <c r="C139" s="28"/>
      <c r="D139" s="28"/>
    </row>
    <row r="140" spans="2:4">
      <c r="B140" s="28"/>
      <c r="C140" s="28"/>
      <c r="D140" s="28"/>
    </row>
    <row r="141" spans="2:4">
      <c r="B141" s="28"/>
      <c r="C141" s="28"/>
      <c r="D141" s="28"/>
    </row>
    <row r="142" spans="2:4">
      <c r="B142" s="28"/>
      <c r="C142" s="28"/>
      <c r="D142" s="28"/>
    </row>
    <row r="143" spans="2:4">
      <c r="B143" s="28"/>
      <c r="C143" s="28"/>
      <c r="D143" s="28"/>
    </row>
    <row r="144" spans="2:4">
      <c r="B144" s="28"/>
      <c r="C144" s="28"/>
      <c r="D144" s="28"/>
    </row>
    <row r="145" spans="2:4">
      <c r="B145" s="28"/>
      <c r="C145" s="28"/>
      <c r="D145" s="28"/>
    </row>
    <row r="146" spans="2:4">
      <c r="B146" s="28"/>
      <c r="C146" s="28"/>
      <c r="D146" s="28"/>
    </row>
    <row r="147" spans="2:4">
      <c r="B147" s="28"/>
      <c r="C147" s="28"/>
      <c r="D147" s="28"/>
    </row>
    <row r="148" spans="2:4">
      <c r="B148" s="28"/>
      <c r="C148" s="28"/>
      <c r="D148" s="28"/>
    </row>
    <row r="149" spans="2:4">
      <c r="B149" s="28"/>
      <c r="C149" s="28"/>
      <c r="D149" s="28"/>
    </row>
    <row r="150" spans="2:4">
      <c r="B150" s="28"/>
      <c r="C150" s="28"/>
      <c r="D150" s="28"/>
    </row>
    <row r="151" spans="2:4">
      <c r="B151" s="28"/>
      <c r="C151" s="28"/>
      <c r="D151" s="28"/>
    </row>
    <row r="152" spans="2:4">
      <c r="B152" s="28"/>
      <c r="C152" s="28"/>
      <c r="D152" s="28"/>
    </row>
    <row r="153" spans="2:4">
      <c r="B153" s="28"/>
      <c r="C153" s="28"/>
      <c r="D153" s="28"/>
    </row>
    <row r="154" spans="2:4">
      <c r="B154" s="28"/>
      <c r="C154" s="28"/>
      <c r="D154" s="28"/>
    </row>
    <row r="155" spans="2:4">
      <c r="B155" s="28"/>
      <c r="C155" s="28"/>
      <c r="D155" s="28"/>
    </row>
    <row r="156" spans="2:4">
      <c r="B156" s="28"/>
      <c r="C156" s="28"/>
      <c r="D156" s="28"/>
    </row>
    <row r="157" spans="2:4">
      <c r="B157" s="28"/>
      <c r="C157" s="28"/>
      <c r="D157" s="28"/>
    </row>
    <row r="158" spans="2:4">
      <c r="B158" s="28"/>
      <c r="C158" s="28"/>
      <c r="D158" s="28"/>
    </row>
    <row r="159" spans="2:4">
      <c r="B159" s="28"/>
      <c r="C159" s="28"/>
      <c r="D159" s="28"/>
    </row>
    <row r="160" spans="2:4">
      <c r="B160" s="28"/>
      <c r="C160" s="28"/>
      <c r="D160" s="28"/>
    </row>
    <row r="161" spans="2:4">
      <c r="B161" s="28"/>
      <c r="C161" s="28"/>
      <c r="D161" s="28"/>
    </row>
    <row r="162" spans="2:4">
      <c r="B162" s="28"/>
      <c r="C162" s="28"/>
      <c r="D162" s="28"/>
    </row>
    <row r="163" spans="2:4">
      <c r="B163" s="28"/>
      <c r="C163" s="28"/>
      <c r="D163" s="28"/>
    </row>
    <row r="164" spans="2:4">
      <c r="B164" s="28"/>
      <c r="C164" s="28"/>
      <c r="D164" s="28"/>
    </row>
    <row r="165" spans="2:4">
      <c r="B165" s="28"/>
      <c r="C165" s="28"/>
      <c r="D165" s="28"/>
    </row>
    <row r="166" spans="2:4">
      <c r="B166" s="28"/>
      <c r="C166" s="28"/>
      <c r="D166" s="28"/>
    </row>
    <row r="167" spans="2:4">
      <c r="B167" s="28"/>
      <c r="C167" s="28"/>
      <c r="D167" s="28"/>
    </row>
    <row r="168" spans="2:4">
      <c r="B168" s="28"/>
      <c r="C168" s="28"/>
      <c r="D168" s="28"/>
    </row>
    <row r="169" spans="2:4">
      <c r="B169" s="28"/>
      <c r="C169" s="28"/>
      <c r="D169" s="28"/>
    </row>
    <row r="170" spans="2:4">
      <c r="B170" s="28"/>
      <c r="C170" s="28"/>
      <c r="D170" s="28"/>
    </row>
    <row r="171" spans="2:4">
      <c r="B171" s="28"/>
      <c r="C171" s="28"/>
      <c r="D171" s="28"/>
    </row>
    <row r="172" spans="2:4">
      <c r="B172" s="28"/>
      <c r="C172" s="28"/>
      <c r="D172" s="28"/>
    </row>
    <row r="173" spans="2:4">
      <c r="B173" s="28"/>
      <c r="C173" s="28"/>
      <c r="D173" s="28"/>
    </row>
    <row r="174" spans="2:4">
      <c r="B174" s="28"/>
      <c r="C174" s="28"/>
      <c r="D174" s="28"/>
    </row>
    <row r="175" spans="2:4">
      <c r="B175" s="28"/>
      <c r="C175" s="28"/>
      <c r="D175" s="28"/>
    </row>
    <row r="176" spans="2:4">
      <c r="B176" s="28"/>
      <c r="C176" s="28"/>
      <c r="D176" s="28"/>
    </row>
    <row r="177" spans="2:4">
      <c r="B177" s="28"/>
      <c r="C177" s="28"/>
      <c r="D177" s="28"/>
    </row>
    <row r="178" spans="2:4">
      <c r="B178" s="28"/>
      <c r="C178" s="28"/>
      <c r="D178" s="28"/>
    </row>
    <row r="179" spans="2:4">
      <c r="B179" s="28"/>
      <c r="C179" s="28"/>
      <c r="D179" s="28"/>
    </row>
    <row r="180" spans="2:4">
      <c r="B180" s="28"/>
      <c r="C180" s="28"/>
      <c r="D180" s="28"/>
    </row>
    <row r="181" spans="2:4">
      <c r="B181" s="28"/>
      <c r="C181" s="28"/>
      <c r="D181" s="28"/>
    </row>
    <row r="182" spans="2:4">
      <c r="B182" s="28"/>
      <c r="C182" s="28"/>
      <c r="D182" s="28"/>
    </row>
    <row r="183" spans="2:4">
      <c r="B183" s="28"/>
      <c r="C183" s="28"/>
      <c r="D183" s="28"/>
    </row>
    <row r="184" spans="2:4">
      <c r="B184" s="28"/>
      <c r="C184" s="28"/>
      <c r="D184" s="28"/>
    </row>
    <row r="185" spans="2:4">
      <c r="B185" s="28"/>
      <c r="C185" s="28"/>
      <c r="D185" s="28"/>
    </row>
  </sheetData>
  <mergeCells count="1">
    <mergeCell ref="B1:D1"/>
  </mergeCells>
  <phoneticPr fontId="0" type="noConversion"/>
  <printOptions gridLines="1"/>
  <pageMargins left="0.75" right="0.75" top="1" bottom="1" header="0.5" footer="0.5"/>
  <pageSetup scale="70" orientation="landscape" r:id="rId1"/>
  <headerFooter alignWithMargins="0">
    <oddHeader xml:space="preserve">&amp;L&amp;"Arial,Bold"Annexure 1&amp;C&amp;"Arial,Bold"EXECUTRAIN - DUBAI
Budgets for the period Jan 02 to Dec 02
Balance Sheet Schedules
</oddHeader>
  </headerFooter>
  <rowBreaks count="2" manualBreakCount="2">
    <brk id="53" max="16383" man="1"/>
    <brk id="9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7"/>
  <dimension ref="A1:AP74"/>
  <sheetViews>
    <sheetView showZeros="0" tabSelected="1" workbookViewId="0">
      <pane xSplit="2" ySplit="3" topLeftCell="AE4" activePane="bottomRight" state="frozen"/>
      <selection pane="topRight" activeCell="C1" sqref="C1"/>
      <selection pane="bottomLeft" activeCell="A4" sqref="A4"/>
      <selection pane="bottomRight" activeCell="AL15" sqref="AL15"/>
    </sheetView>
  </sheetViews>
  <sheetFormatPr defaultRowHeight="12.75"/>
  <cols>
    <col min="1" max="1" width="5.140625" customWidth="1"/>
    <col min="2" max="2" width="31.5703125" customWidth="1"/>
    <col min="3" max="3" width="7.140625" customWidth="1"/>
    <col min="4" max="4" width="7.28515625" customWidth="1"/>
    <col min="5" max="5" width="8.5703125" customWidth="1"/>
    <col min="6" max="6" width="6.42578125" customWidth="1"/>
    <col min="7" max="7" width="6.7109375" customWidth="1"/>
    <col min="8" max="8" width="8.85546875" customWidth="1"/>
    <col min="9" max="9" width="6.85546875" customWidth="1"/>
    <col min="10" max="10" width="8.5703125" customWidth="1"/>
    <col min="11" max="11" width="13.140625" customWidth="1"/>
    <col min="12" max="12" width="8" customWidth="1"/>
    <col min="13" max="13" width="8.28515625" customWidth="1"/>
    <col min="14" max="14" width="11.42578125" customWidth="1"/>
    <col min="15" max="15" width="7.7109375" customWidth="1"/>
    <col min="16" max="16" width="7.5703125" customWidth="1"/>
    <col min="17" max="17" width="8.5703125" customWidth="1"/>
    <col min="18" max="18" width="7.5703125" style="189" customWidth="1"/>
    <col min="19" max="19" width="7.28515625" style="189" customWidth="1"/>
    <col min="20" max="20" width="9.140625" style="189"/>
    <col min="21" max="21" width="6" style="189" customWidth="1"/>
    <col min="22" max="22" width="8.42578125" style="189" customWidth="1"/>
    <col min="23" max="23" width="9.140625" style="189"/>
    <col min="24" max="24" width="7.28515625" style="189" customWidth="1"/>
    <col min="25" max="26" width="9.140625" style="189"/>
    <col min="27" max="27" width="6.85546875" style="189" customWidth="1"/>
    <col min="28" max="28" width="7" style="189" customWidth="1"/>
    <col min="29" max="29" width="9.140625" style="189"/>
    <col min="30" max="30" width="7.42578125" style="189" customWidth="1"/>
    <col min="31" max="31" width="7.5703125" style="189" customWidth="1"/>
    <col min="32" max="32" width="8.7109375" style="189" customWidth="1"/>
    <col min="33" max="33" width="6.85546875" style="189" customWidth="1"/>
    <col min="34" max="34" width="7.5703125" style="189" customWidth="1"/>
    <col min="35" max="35" width="10.28515625" style="189" customWidth="1"/>
    <col min="36" max="36" width="6.85546875" style="189" customWidth="1"/>
    <col min="37" max="37" width="7.28515625" style="189" customWidth="1"/>
    <col min="38" max="38" width="10.28515625" style="189" customWidth="1"/>
    <col min="39" max="39" width="10.42578125" style="189" customWidth="1"/>
    <col min="40" max="40" width="11.28515625" style="111" customWidth="1"/>
    <col min="41" max="41" width="12.28515625" bestFit="1" customWidth="1"/>
    <col min="42" max="42" width="9.28515625" bestFit="1" customWidth="1"/>
  </cols>
  <sheetData>
    <row r="1" spans="1:42">
      <c r="A1" s="31" t="s">
        <v>30</v>
      </c>
      <c r="B1" s="32" t="s">
        <v>0</v>
      </c>
      <c r="C1" s="610">
        <v>37257</v>
      </c>
      <c r="D1" s="611"/>
      <c r="E1" s="612"/>
      <c r="F1" s="610">
        <v>37288</v>
      </c>
      <c r="G1" s="611"/>
      <c r="H1" s="612"/>
      <c r="I1" s="610">
        <v>37316</v>
      </c>
      <c r="J1" s="611"/>
      <c r="K1" s="612"/>
      <c r="L1" s="610">
        <v>37347</v>
      </c>
      <c r="M1" s="611"/>
      <c r="N1" s="612"/>
      <c r="O1" s="610">
        <v>37377</v>
      </c>
      <c r="P1" s="611"/>
      <c r="Q1" s="612"/>
      <c r="R1" s="610">
        <v>37408</v>
      </c>
      <c r="S1" s="611"/>
      <c r="T1" s="612"/>
      <c r="U1" s="610">
        <v>37438</v>
      </c>
      <c r="V1" s="611"/>
      <c r="W1" s="612"/>
      <c r="X1" s="610">
        <v>37469</v>
      </c>
      <c r="Y1" s="611"/>
      <c r="Z1" s="612"/>
      <c r="AA1" s="610">
        <v>37500</v>
      </c>
      <c r="AB1" s="611"/>
      <c r="AC1" s="612"/>
      <c r="AD1" s="610">
        <v>37530</v>
      </c>
      <c r="AE1" s="611"/>
      <c r="AF1" s="612"/>
      <c r="AG1" s="610">
        <v>37561</v>
      </c>
      <c r="AH1" s="611"/>
      <c r="AI1" s="612"/>
      <c r="AJ1" s="610">
        <v>37591</v>
      </c>
      <c r="AK1" s="611"/>
      <c r="AL1" s="612"/>
      <c r="AM1" s="403" t="s">
        <v>5</v>
      </c>
    </row>
    <row r="2" spans="1:42">
      <c r="B2" s="33"/>
      <c r="C2" s="34" t="s">
        <v>31</v>
      </c>
      <c r="D2" s="35" t="s">
        <v>32</v>
      </c>
      <c r="E2" s="36" t="s">
        <v>33</v>
      </c>
      <c r="F2" s="34" t="s">
        <v>31</v>
      </c>
      <c r="G2" s="35" t="s">
        <v>32</v>
      </c>
      <c r="H2" s="36" t="s">
        <v>33</v>
      </c>
      <c r="I2" s="34" t="s">
        <v>31</v>
      </c>
      <c r="J2" s="35" t="s">
        <v>32</v>
      </c>
      <c r="K2" s="36" t="s">
        <v>33</v>
      </c>
      <c r="L2" s="34" t="s">
        <v>31</v>
      </c>
      <c r="M2" s="35" t="s">
        <v>32</v>
      </c>
      <c r="N2" s="36" t="s">
        <v>33</v>
      </c>
      <c r="O2" s="34" t="s">
        <v>31</v>
      </c>
      <c r="P2" s="35" t="s">
        <v>32</v>
      </c>
      <c r="Q2" s="36" t="s">
        <v>33</v>
      </c>
      <c r="R2" s="404" t="s">
        <v>31</v>
      </c>
      <c r="S2" s="405" t="s">
        <v>32</v>
      </c>
      <c r="T2" s="406" t="s">
        <v>33</v>
      </c>
      <c r="U2" s="404" t="s">
        <v>31</v>
      </c>
      <c r="V2" s="405" t="s">
        <v>32</v>
      </c>
      <c r="W2" s="406" t="s">
        <v>33</v>
      </c>
      <c r="X2" s="404" t="s">
        <v>31</v>
      </c>
      <c r="Y2" s="405" t="s">
        <v>32</v>
      </c>
      <c r="Z2" s="406" t="s">
        <v>33</v>
      </c>
      <c r="AA2" s="404" t="s">
        <v>31</v>
      </c>
      <c r="AB2" s="405" t="s">
        <v>32</v>
      </c>
      <c r="AC2" s="406" t="s">
        <v>33</v>
      </c>
      <c r="AD2" s="404" t="s">
        <v>31</v>
      </c>
      <c r="AE2" s="405" t="s">
        <v>32</v>
      </c>
      <c r="AF2" s="406" t="s">
        <v>33</v>
      </c>
      <c r="AG2" s="404" t="s">
        <v>31</v>
      </c>
      <c r="AH2" s="405" t="s">
        <v>32</v>
      </c>
      <c r="AI2" s="406" t="s">
        <v>33</v>
      </c>
      <c r="AJ2" s="404" t="s">
        <v>31</v>
      </c>
      <c r="AK2" s="405" t="s">
        <v>32</v>
      </c>
      <c r="AL2" s="406" t="s">
        <v>33</v>
      </c>
      <c r="AM2" s="407"/>
    </row>
    <row r="3" spans="1:42">
      <c r="B3" s="33"/>
      <c r="C3" s="34"/>
      <c r="D3" s="35"/>
      <c r="E3" s="36"/>
      <c r="F3" s="34"/>
      <c r="G3" s="35"/>
      <c r="H3" s="36"/>
      <c r="I3" s="34"/>
      <c r="J3" s="35"/>
      <c r="K3" s="36"/>
      <c r="L3" s="34"/>
      <c r="M3" s="35"/>
      <c r="N3" s="36"/>
      <c r="O3" s="34"/>
      <c r="P3" s="35"/>
      <c r="Q3" s="36"/>
      <c r="R3" s="404"/>
      <c r="S3" s="405"/>
      <c r="T3" s="406"/>
      <c r="U3" s="404"/>
      <c r="V3" s="405"/>
      <c r="W3" s="406"/>
      <c r="X3" s="404"/>
      <c r="Y3" s="405"/>
      <c r="Z3" s="406"/>
      <c r="AA3" s="404"/>
      <c r="AB3" s="405"/>
      <c r="AC3" s="406"/>
      <c r="AD3" s="405"/>
      <c r="AE3" s="405"/>
      <c r="AF3" s="406"/>
      <c r="AG3" s="405"/>
      <c r="AH3" s="405"/>
      <c r="AI3" s="406"/>
      <c r="AJ3" s="405"/>
      <c r="AK3" s="405"/>
      <c r="AL3" s="406"/>
      <c r="AM3" s="407"/>
    </row>
    <row r="4" spans="1:42" ht="15">
      <c r="A4" s="29"/>
      <c r="B4" s="38" t="s">
        <v>681</v>
      </c>
      <c r="C4" s="39"/>
      <c r="D4" s="40"/>
      <c r="E4" s="41"/>
      <c r="F4" s="39"/>
      <c r="G4" s="40"/>
      <c r="H4" s="41"/>
      <c r="I4" s="39"/>
      <c r="J4" s="40"/>
      <c r="K4" s="41"/>
      <c r="L4" s="39"/>
      <c r="M4" s="40"/>
      <c r="N4" s="41"/>
      <c r="O4" s="39"/>
      <c r="P4" s="40"/>
      <c r="Q4" s="41"/>
      <c r="R4" s="39"/>
      <c r="S4" s="40"/>
      <c r="T4" s="41"/>
      <c r="U4" s="39"/>
      <c r="V4" s="40"/>
      <c r="W4" s="41"/>
      <c r="X4" s="39"/>
      <c r="Y4" s="40"/>
      <c r="Z4" s="41"/>
      <c r="AA4" s="39"/>
      <c r="AB4" s="40"/>
      <c r="AC4" s="41"/>
      <c r="AD4" s="39"/>
      <c r="AE4" s="40"/>
      <c r="AF4" s="41"/>
      <c r="AG4" s="39"/>
      <c r="AH4" s="40"/>
      <c r="AI4" s="41"/>
      <c r="AJ4" s="39"/>
      <c r="AK4" s="40"/>
      <c r="AL4" s="41"/>
      <c r="AM4" s="408"/>
    </row>
    <row r="5" spans="1:42">
      <c r="B5" t="s">
        <v>34</v>
      </c>
      <c r="C5" s="42">
        <f>12*5</f>
        <v>60</v>
      </c>
      <c r="D5" s="14">
        <v>425</v>
      </c>
      <c r="E5" s="43">
        <f>+D5*C5</f>
        <v>25500</v>
      </c>
      <c r="F5" s="44">
        <f>13*5</f>
        <v>65</v>
      </c>
      <c r="G5" s="14">
        <f>D5</f>
        <v>425</v>
      </c>
      <c r="H5" s="43">
        <f>+G5*F5</f>
        <v>27625</v>
      </c>
      <c r="I5" s="44">
        <f>13*5</f>
        <v>65</v>
      </c>
      <c r="J5" s="14">
        <f>G5</f>
        <v>425</v>
      </c>
      <c r="K5" s="43">
        <f>+J5*I5</f>
        <v>27625</v>
      </c>
      <c r="L5" s="44">
        <f>13*5</f>
        <v>65</v>
      </c>
      <c r="M5" s="14">
        <f>J5</f>
        <v>425</v>
      </c>
      <c r="N5" s="43">
        <f>+M5*L5</f>
        <v>27625</v>
      </c>
      <c r="O5" s="44">
        <f>13*5</f>
        <v>65</v>
      </c>
      <c r="P5" s="14">
        <f>M5</f>
        <v>425</v>
      </c>
      <c r="Q5" s="43">
        <f>+P5*O5</f>
        <v>27625</v>
      </c>
      <c r="R5" s="44">
        <f>13*5</f>
        <v>65</v>
      </c>
      <c r="S5" s="14">
        <f>P5</f>
        <v>425</v>
      </c>
      <c r="T5" s="43">
        <f>+S5*R5</f>
        <v>27625</v>
      </c>
      <c r="U5" s="44">
        <f>10*5</f>
        <v>50</v>
      </c>
      <c r="V5" s="14">
        <f>S5</f>
        <v>425</v>
      </c>
      <c r="W5" s="43">
        <f>+V5*U5</f>
        <v>21250</v>
      </c>
      <c r="X5" s="44">
        <f>10*5</f>
        <v>50</v>
      </c>
      <c r="Y5" s="14">
        <f>V5</f>
        <v>425</v>
      </c>
      <c r="Z5" s="43">
        <f>+Y5*X5</f>
        <v>21250</v>
      </c>
      <c r="AA5" s="44">
        <f>13*5</f>
        <v>65</v>
      </c>
      <c r="AB5" s="14">
        <f>Y5</f>
        <v>425</v>
      </c>
      <c r="AC5" s="43">
        <f>+AB5*AA5</f>
        <v>27625</v>
      </c>
      <c r="AD5" s="44">
        <f>13*5</f>
        <v>65</v>
      </c>
      <c r="AE5" s="14">
        <f>AB5</f>
        <v>425</v>
      </c>
      <c r="AF5" s="43">
        <f>+AE5*AD5</f>
        <v>27625</v>
      </c>
      <c r="AG5" s="44">
        <f>10*5</f>
        <v>50</v>
      </c>
      <c r="AH5" s="14">
        <f>AE5</f>
        <v>425</v>
      </c>
      <c r="AI5" s="43">
        <f>+AH5*AG5</f>
        <v>21250</v>
      </c>
      <c r="AJ5" s="44">
        <f>10*5</f>
        <v>50</v>
      </c>
      <c r="AK5" s="14">
        <f>AH5</f>
        <v>425</v>
      </c>
      <c r="AL5" s="43">
        <f>+AK5*AJ5</f>
        <v>21250</v>
      </c>
      <c r="AM5" s="409">
        <f t="shared" ref="AM5:AM50" si="0">+AI5+AF5+AC5+Z5+W5+T5+Q5+N5+K5+H5+E5+AL5</f>
        <v>303875</v>
      </c>
      <c r="AN5" s="111">
        <f>AM5/$AM$55</f>
        <v>6.5000000000000002E-2</v>
      </c>
      <c r="AO5" s="45">
        <f>AM5+AM14+AM44</f>
        <v>864875</v>
      </c>
      <c r="AP5">
        <v>91</v>
      </c>
    </row>
    <row r="6" spans="1:42">
      <c r="B6" t="s">
        <v>35</v>
      </c>
      <c r="C6" s="42">
        <f>20*1</f>
        <v>20</v>
      </c>
      <c r="D6" s="14">
        <v>2500</v>
      </c>
      <c r="E6" s="444">
        <f>+D6*C6</f>
        <v>50000</v>
      </c>
      <c r="F6" s="44">
        <v>25</v>
      </c>
      <c r="G6" s="14">
        <f>D6</f>
        <v>2500</v>
      </c>
      <c r="H6" s="43">
        <f>+G6*F6</f>
        <v>62500</v>
      </c>
      <c r="I6" s="44">
        <v>30</v>
      </c>
      <c r="J6" s="14">
        <f>G6</f>
        <v>2500</v>
      </c>
      <c r="K6" s="43">
        <f>+J6*I6</f>
        <v>75000</v>
      </c>
      <c r="L6" s="44">
        <v>40</v>
      </c>
      <c r="M6" s="14">
        <f>J6</f>
        <v>2500</v>
      </c>
      <c r="N6" s="43">
        <f>+M6*L6</f>
        <v>100000</v>
      </c>
      <c r="O6" s="44">
        <v>45</v>
      </c>
      <c r="P6" s="14">
        <f>M6</f>
        <v>2500</v>
      </c>
      <c r="Q6" s="43">
        <f>+P6*O6</f>
        <v>112500</v>
      </c>
      <c r="R6" s="44">
        <v>40</v>
      </c>
      <c r="S6" s="14">
        <f>P6</f>
        <v>2500</v>
      </c>
      <c r="T6" s="43">
        <f>+S6*R6</f>
        <v>100000</v>
      </c>
      <c r="U6" s="44">
        <v>30</v>
      </c>
      <c r="V6" s="14">
        <f>S6</f>
        <v>2500</v>
      </c>
      <c r="W6" s="43">
        <f>+V6*U6</f>
        <v>75000</v>
      </c>
      <c r="X6" s="44">
        <v>25</v>
      </c>
      <c r="Y6" s="14">
        <f>V6</f>
        <v>2500</v>
      </c>
      <c r="Z6" s="43">
        <f>+Y6*X6</f>
        <v>62500</v>
      </c>
      <c r="AA6" s="44">
        <v>25</v>
      </c>
      <c r="AB6" s="14">
        <f>Y6</f>
        <v>2500</v>
      </c>
      <c r="AC6" s="43">
        <f>+AB6*AA6</f>
        <v>62500</v>
      </c>
      <c r="AD6" s="44">
        <v>40</v>
      </c>
      <c r="AE6" s="14">
        <f>AB6</f>
        <v>2500</v>
      </c>
      <c r="AF6" s="43">
        <f>+AE6*AD6</f>
        <v>100000</v>
      </c>
      <c r="AG6" s="44">
        <v>30</v>
      </c>
      <c r="AH6" s="14">
        <f>AE6</f>
        <v>2500</v>
      </c>
      <c r="AI6" s="43">
        <f>+AH6*AG6</f>
        <v>75000</v>
      </c>
      <c r="AJ6" s="44">
        <f>20*1</f>
        <v>20</v>
      </c>
      <c r="AK6" s="14">
        <f>AH6</f>
        <v>2500</v>
      </c>
      <c r="AL6" s="43">
        <f>+AK6*AJ6</f>
        <v>50000</v>
      </c>
      <c r="AM6" s="409">
        <f t="shared" si="0"/>
        <v>925000</v>
      </c>
      <c r="AN6" s="111">
        <f>AM6/$AM$55</f>
        <v>0.19786096256684493</v>
      </c>
      <c r="AO6" s="45">
        <f>AM6+AM15</f>
        <v>1195000</v>
      </c>
      <c r="AP6">
        <v>24</v>
      </c>
    </row>
    <row r="7" spans="1:42">
      <c r="B7" s="31" t="s">
        <v>36</v>
      </c>
      <c r="C7" s="42"/>
      <c r="D7" s="47"/>
      <c r="E7" s="48">
        <f>SUM(E5:E6)</f>
        <v>75500</v>
      </c>
      <c r="F7" s="48"/>
      <c r="G7" s="48"/>
      <c r="H7" s="48">
        <f>SUM(H5:H6)</f>
        <v>90125</v>
      </c>
      <c r="I7" s="48"/>
      <c r="J7" s="48"/>
      <c r="K7" s="48">
        <f>SUM(K5:K6)</f>
        <v>102625</v>
      </c>
      <c r="L7" s="48"/>
      <c r="M7" s="48"/>
      <c r="N7" s="48">
        <f>SUM(N5:N6)</f>
        <v>127625</v>
      </c>
      <c r="O7" s="48"/>
      <c r="P7" s="48"/>
      <c r="Q7" s="48">
        <f>SUM(Q5:Q6)</f>
        <v>140125</v>
      </c>
      <c r="R7" s="48"/>
      <c r="S7" s="48"/>
      <c r="T7" s="48">
        <f>SUM(T5:T6)</f>
        <v>127625</v>
      </c>
      <c r="U7" s="48"/>
      <c r="V7" s="48"/>
      <c r="W7" s="48">
        <f>SUM(W5:W6)</f>
        <v>96250</v>
      </c>
      <c r="X7" s="48"/>
      <c r="Y7" s="48"/>
      <c r="Z7" s="48">
        <f>SUM(Z5:Z6)</f>
        <v>83750</v>
      </c>
      <c r="AA7" s="48"/>
      <c r="AB7" s="48"/>
      <c r="AC7" s="48">
        <f>SUM(AC5:AC6)</f>
        <v>90125</v>
      </c>
      <c r="AD7" s="48"/>
      <c r="AE7" s="48"/>
      <c r="AF7" s="48">
        <f>SUM(AF5:AF6)</f>
        <v>127625</v>
      </c>
      <c r="AG7" s="48"/>
      <c r="AH7" s="48"/>
      <c r="AI7" s="48">
        <f>SUM(AI5:AI6)</f>
        <v>96250</v>
      </c>
      <c r="AJ7" s="48"/>
      <c r="AK7" s="48"/>
      <c r="AL7" s="48">
        <f>SUM(AL5:AL6)</f>
        <v>71250</v>
      </c>
      <c r="AM7" s="409">
        <f t="shared" si="0"/>
        <v>1228875</v>
      </c>
      <c r="AN7" s="111">
        <f>AM7/$AM$55</f>
        <v>0.26286096256684494</v>
      </c>
    </row>
    <row r="8" spans="1:42" ht="15">
      <c r="B8" s="38" t="s">
        <v>685</v>
      </c>
      <c r="C8" s="42"/>
      <c r="D8" s="40"/>
      <c r="E8" s="43"/>
      <c r="F8" s="44"/>
      <c r="G8" s="21"/>
      <c r="H8" s="43"/>
      <c r="I8" s="44"/>
      <c r="J8" s="21"/>
      <c r="K8" s="43"/>
      <c r="L8" s="44"/>
      <c r="M8" s="21"/>
      <c r="N8" s="43"/>
      <c r="O8" s="44"/>
      <c r="P8" s="21"/>
      <c r="Q8" s="43"/>
      <c r="R8" s="44"/>
      <c r="S8" s="21"/>
      <c r="T8" s="43"/>
      <c r="U8" s="44"/>
      <c r="V8" s="21"/>
      <c r="W8" s="43"/>
      <c r="X8" s="44"/>
      <c r="Y8" s="21"/>
      <c r="Z8" s="43"/>
      <c r="AA8" s="44"/>
      <c r="AB8" s="21"/>
      <c r="AC8" s="43"/>
      <c r="AD8" s="44"/>
      <c r="AE8" s="21"/>
      <c r="AF8" s="43"/>
      <c r="AG8" s="44"/>
      <c r="AH8" s="21"/>
      <c r="AI8" s="43"/>
      <c r="AJ8" s="44"/>
      <c r="AK8" s="21"/>
      <c r="AL8" s="43"/>
      <c r="AM8" s="409">
        <f t="shared" si="0"/>
        <v>0</v>
      </c>
    </row>
    <row r="9" spans="1:42">
      <c r="B9" t="s">
        <v>34</v>
      </c>
      <c r="C9" s="42">
        <f>5*5</f>
        <v>25</v>
      </c>
      <c r="D9" s="14">
        <v>650</v>
      </c>
      <c r="E9" s="43">
        <f>+D9*C9</f>
        <v>16250</v>
      </c>
      <c r="F9" s="44">
        <f>10*5</f>
        <v>50</v>
      </c>
      <c r="G9" s="484">
        <f>+D9</f>
        <v>650</v>
      </c>
      <c r="H9" s="43">
        <f>+G9*F9</f>
        <v>32500</v>
      </c>
      <c r="I9" s="44">
        <f>10*5</f>
        <v>50</v>
      </c>
      <c r="J9" s="484">
        <f>+G9</f>
        <v>650</v>
      </c>
      <c r="K9" s="43">
        <f>+J9*I9</f>
        <v>32500</v>
      </c>
      <c r="L9" s="44">
        <f>10*5</f>
        <v>50</v>
      </c>
      <c r="M9" s="484">
        <f>+J9</f>
        <v>650</v>
      </c>
      <c r="N9" s="43">
        <f>+M9*L9</f>
        <v>32500</v>
      </c>
      <c r="O9" s="44">
        <f>10*5</f>
        <v>50</v>
      </c>
      <c r="P9" s="484">
        <f>+M9</f>
        <v>650</v>
      </c>
      <c r="Q9" s="43">
        <f>+P9*O9</f>
        <v>32500</v>
      </c>
      <c r="R9" s="44">
        <f>10*5</f>
        <v>50</v>
      </c>
      <c r="S9" s="484">
        <f>+P9</f>
        <v>650</v>
      </c>
      <c r="T9" s="43">
        <f>+S9*R9</f>
        <v>32500</v>
      </c>
      <c r="U9" s="44">
        <f>5*5</f>
        <v>25</v>
      </c>
      <c r="V9" s="484">
        <f>+S9</f>
        <v>650</v>
      </c>
      <c r="W9" s="43">
        <f>+V9*U9</f>
        <v>16250</v>
      </c>
      <c r="X9" s="44">
        <f>5*5</f>
        <v>25</v>
      </c>
      <c r="Y9" s="21">
        <v>650</v>
      </c>
      <c r="Z9" s="43">
        <f>+Y9*X9</f>
        <v>16250</v>
      </c>
      <c r="AA9" s="44">
        <f>5*5</f>
        <v>25</v>
      </c>
      <c r="AB9" s="21">
        <v>650</v>
      </c>
      <c r="AC9" s="43">
        <f>+AB9*AA9</f>
        <v>16250</v>
      </c>
      <c r="AD9" s="44">
        <f>10*5</f>
        <v>50</v>
      </c>
      <c r="AE9" s="21">
        <v>650</v>
      </c>
      <c r="AF9" s="43">
        <f>+AE9*AD9</f>
        <v>32500</v>
      </c>
      <c r="AG9" s="44">
        <f>10*5</f>
        <v>50</v>
      </c>
      <c r="AH9" s="21">
        <v>650</v>
      </c>
      <c r="AI9" s="43">
        <f>+AH9*AG9</f>
        <v>32500</v>
      </c>
      <c r="AJ9" s="44">
        <f>10*5</f>
        <v>50</v>
      </c>
      <c r="AK9" s="21">
        <v>650</v>
      </c>
      <c r="AL9" s="43">
        <f>+AK9*AJ9</f>
        <v>32500</v>
      </c>
      <c r="AM9" s="409">
        <f t="shared" si="0"/>
        <v>325000</v>
      </c>
    </row>
    <row r="10" spans="1:42">
      <c r="B10" t="s">
        <v>35</v>
      </c>
      <c r="C10" s="42">
        <f>0*1</f>
        <v>0</v>
      </c>
      <c r="D10" s="14">
        <v>4000</v>
      </c>
      <c r="E10" s="496">
        <f>+D10*C10</f>
        <v>0</v>
      </c>
      <c r="F10" s="44">
        <v>5</v>
      </c>
      <c r="G10" s="21">
        <v>4000</v>
      </c>
      <c r="H10" s="43">
        <f>+G10*F10</f>
        <v>20000</v>
      </c>
      <c r="I10" s="44">
        <v>5</v>
      </c>
      <c r="J10" s="21">
        <v>4000</v>
      </c>
      <c r="K10" s="43">
        <f>+J10*I10</f>
        <v>20000</v>
      </c>
      <c r="L10" s="44">
        <v>5</v>
      </c>
      <c r="M10" s="21">
        <v>4000</v>
      </c>
      <c r="N10" s="43">
        <f>+M10*L10</f>
        <v>20000</v>
      </c>
      <c r="O10" s="44">
        <v>5</v>
      </c>
      <c r="P10" s="21">
        <v>4000</v>
      </c>
      <c r="Q10" s="43">
        <f>+P10*O10</f>
        <v>20000</v>
      </c>
      <c r="R10" s="44">
        <v>5</v>
      </c>
      <c r="S10" s="21">
        <v>4000</v>
      </c>
      <c r="T10" s="43">
        <f>+S10*R10</f>
        <v>20000</v>
      </c>
      <c r="U10" s="44">
        <v>0</v>
      </c>
      <c r="V10" s="21">
        <v>4000</v>
      </c>
      <c r="W10" s="43">
        <f>+V10*U10</f>
        <v>0</v>
      </c>
      <c r="X10" s="44">
        <v>0</v>
      </c>
      <c r="Y10" s="21">
        <v>4000</v>
      </c>
      <c r="Z10" s="43">
        <f>+Y10*X10</f>
        <v>0</v>
      </c>
      <c r="AA10" s="44">
        <v>0</v>
      </c>
      <c r="AB10" s="21">
        <v>4000</v>
      </c>
      <c r="AC10" s="43">
        <f>+AB10*AA10</f>
        <v>0</v>
      </c>
      <c r="AD10" s="44">
        <v>5</v>
      </c>
      <c r="AE10" s="21">
        <v>4000</v>
      </c>
      <c r="AF10" s="43">
        <f>+AE10*AD10</f>
        <v>20000</v>
      </c>
      <c r="AG10" s="44">
        <v>5</v>
      </c>
      <c r="AH10" s="21">
        <v>4000</v>
      </c>
      <c r="AI10" s="43">
        <f>+AH10*AG10</f>
        <v>20000</v>
      </c>
      <c r="AJ10" s="44">
        <v>5</v>
      </c>
      <c r="AK10" s="21">
        <v>4000</v>
      </c>
      <c r="AL10" s="43">
        <f>+AK10*AJ10</f>
        <v>20000</v>
      </c>
      <c r="AM10" s="409">
        <f t="shared" si="0"/>
        <v>160000</v>
      </c>
    </row>
    <row r="11" spans="1:42">
      <c r="B11" t="s">
        <v>126</v>
      </c>
      <c r="C11" s="42"/>
      <c r="D11" s="21"/>
      <c r="E11" s="43"/>
      <c r="F11" s="44"/>
      <c r="G11" s="21"/>
      <c r="H11" s="43"/>
      <c r="I11" s="44"/>
      <c r="J11" s="21"/>
      <c r="K11" s="43"/>
      <c r="L11" s="44"/>
      <c r="M11" s="21"/>
      <c r="N11" s="43"/>
      <c r="O11" s="44"/>
      <c r="P11" s="21"/>
      <c r="Q11" s="43"/>
      <c r="R11" s="44"/>
      <c r="S11" s="21"/>
      <c r="T11" s="43"/>
      <c r="U11" s="44"/>
      <c r="V11" s="21"/>
      <c r="W11" s="43"/>
      <c r="X11" s="44"/>
      <c r="Y11" s="21"/>
      <c r="Z11" s="43"/>
      <c r="AA11" s="44"/>
      <c r="AB11" s="21"/>
      <c r="AC11" s="43"/>
      <c r="AD11" s="44"/>
      <c r="AE11" s="21"/>
      <c r="AF11" s="43"/>
      <c r="AG11" s="44"/>
      <c r="AH11" s="21"/>
      <c r="AI11" s="43"/>
      <c r="AJ11" s="44"/>
      <c r="AK11" s="21"/>
      <c r="AL11" s="43"/>
      <c r="AM11" s="409">
        <f t="shared" si="0"/>
        <v>0</v>
      </c>
    </row>
    <row r="12" spans="1:42">
      <c r="B12" s="31" t="s">
        <v>36</v>
      </c>
      <c r="C12" s="42"/>
      <c r="D12" s="47"/>
      <c r="E12" s="48">
        <f>SUM(E9:E11)</f>
        <v>16250</v>
      </c>
      <c r="F12" s="48"/>
      <c r="G12" s="48"/>
      <c r="H12" s="48">
        <f>SUM(H9:H11)</f>
        <v>52500</v>
      </c>
      <c r="I12" s="48"/>
      <c r="J12" s="48"/>
      <c r="K12" s="48">
        <f>SUM(K9:K11)</f>
        <v>52500</v>
      </c>
      <c r="L12" s="48"/>
      <c r="M12" s="48"/>
      <c r="N12" s="48">
        <f>SUM(N9:N11)</f>
        <v>52500</v>
      </c>
      <c r="O12" s="48"/>
      <c r="P12" s="48"/>
      <c r="Q12" s="48">
        <f>SUM(Q9:Q11)</f>
        <v>52500</v>
      </c>
      <c r="R12" s="48"/>
      <c r="S12" s="48"/>
      <c r="T12" s="48">
        <f>SUM(T9:T11)</f>
        <v>52500</v>
      </c>
      <c r="U12" s="48"/>
      <c r="V12" s="48"/>
      <c r="W12" s="48">
        <f>SUM(W9:W11)</f>
        <v>16250</v>
      </c>
      <c r="X12" s="48"/>
      <c r="Y12" s="48"/>
      <c r="Z12" s="48">
        <f>SUM(Z9:Z11)</f>
        <v>16250</v>
      </c>
      <c r="AA12" s="48"/>
      <c r="AB12" s="48"/>
      <c r="AC12" s="48">
        <f>SUM(AC9:AC11)</f>
        <v>16250</v>
      </c>
      <c r="AD12" s="48"/>
      <c r="AE12" s="48"/>
      <c r="AF12" s="48">
        <f>SUM(AF9:AF11)</f>
        <v>52500</v>
      </c>
      <c r="AG12" s="48"/>
      <c r="AH12" s="48"/>
      <c r="AI12" s="48">
        <f>SUM(AI9:AI11)</f>
        <v>52500</v>
      </c>
      <c r="AJ12" s="48"/>
      <c r="AK12" s="48"/>
      <c r="AL12" s="48">
        <f>SUM(AL9:AL11)</f>
        <v>52500</v>
      </c>
      <c r="AM12" s="409">
        <f t="shared" si="0"/>
        <v>485000</v>
      </c>
    </row>
    <row r="13" spans="1:42" ht="15">
      <c r="B13" s="38" t="s">
        <v>686</v>
      </c>
      <c r="C13" s="42"/>
      <c r="D13" s="40"/>
      <c r="E13" s="43"/>
      <c r="F13" s="44"/>
      <c r="G13" s="40"/>
      <c r="H13" s="43"/>
      <c r="I13" s="44"/>
      <c r="J13" s="40"/>
      <c r="K13" s="43"/>
      <c r="L13" s="44"/>
      <c r="M13" s="40"/>
      <c r="N13" s="43"/>
      <c r="O13" s="44"/>
      <c r="P13" s="40"/>
      <c r="Q13" s="43"/>
      <c r="R13" s="44"/>
      <c r="S13" s="40"/>
      <c r="T13" s="43"/>
      <c r="U13" s="44"/>
      <c r="V13" s="40"/>
      <c r="W13" s="43"/>
      <c r="X13" s="44"/>
      <c r="Y13" s="40"/>
      <c r="Z13" s="43"/>
      <c r="AA13" s="44"/>
      <c r="AB13" s="40"/>
      <c r="AC13" s="43"/>
      <c r="AD13" s="44"/>
      <c r="AE13" s="40"/>
      <c r="AF13" s="43"/>
      <c r="AG13" s="44"/>
      <c r="AH13" s="40"/>
      <c r="AI13" s="43"/>
      <c r="AJ13" s="44"/>
      <c r="AK13" s="40"/>
      <c r="AL13" s="43"/>
      <c r="AM13" s="409">
        <f t="shared" si="0"/>
        <v>0</v>
      </c>
    </row>
    <row r="14" spans="1:42">
      <c r="B14" t="s">
        <v>34</v>
      </c>
      <c r="C14" s="42">
        <f>15*5</f>
        <v>75</v>
      </c>
      <c r="D14" s="14">
        <v>425</v>
      </c>
      <c r="E14" s="43">
        <f>+D14*C14</f>
        <v>31875</v>
      </c>
      <c r="F14" s="44">
        <f>18*5</f>
        <v>90</v>
      </c>
      <c r="G14" s="14">
        <f>D14</f>
        <v>425</v>
      </c>
      <c r="H14" s="43">
        <f>+G14*F14</f>
        <v>38250</v>
      </c>
      <c r="I14" s="44">
        <f>23*5</f>
        <v>115</v>
      </c>
      <c r="J14" s="14">
        <f>G14</f>
        <v>425</v>
      </c>
      <c r="K14" s="43">
        <f>+J14*I14</f>
        <v>48875</v>
      </c>
      <c r="L14" s="44">
        <f>23*5</f>
        <v>115</v>
      </c>
      <c r="M14" s="14">
        <f>J14</f>
        <v>425</v>
      </c>
      <c r="N14" s="43">
        <f>+M14*L14</f>
        <v>48875</v>
      </c>
      <c r="O14" s="44">
        <f>18*5</f>
        <v>90</v>
      </c>
      <c r="P14" s="14">
        <f>M14</f>
        <v>425</v>
      </c>
      <c r="Q14" s="43">
        <f>+P14*O14</f>
        <v>38250</v>
      </c>
      <c r="R14" s="44">
        <f>23*5</f>
        <v>115</v>
      </c>
      <c r="S14" s="14">
        <f>P14</f>
        <v>425</v>
      </c>
      <c r="T14" s="43">
        <f>+S14*R14</f>
        <v>48875</v>
      </c>
      <c r="U14" s="44">
        <f>10*5</f>
        <v>50</v>
      </c>
      <c r="V14" s="14">
        <f>S14</f>
        <v>425</v>
      </c>
      <c r="W14" s="43">
        <f>+V14*U14</f>
        <v>21250</v>
      </c>
      <c r="X14" s="44">
        <f>10*5</f>
        <v>50</v>
      </c>
      <c r="Y14" s="14">
        <f>V14</f>
        <v>425</v>
      </c>
      <c r="Z14" s="43">
        <f>+Y14*X14</f>
        <v>21250</v>
      </c>
      <c r="AA14" s="44">
        <f>13*5</f>
        <v>65</v>
      </c>
      <c r="AB14" s="14">
        <f>Y14</f>
        <v>425</v>
      </c>
      <c r="AC14" s="43">
        <f>+AB14*AA14</f>
        <v>27625</v>
      </c>
      <c r="AD14" s="44">
        <f>18*5</f>
        <v>90</v>
      </c>
      <c r="AE14" s="14">
        <f>AB14</f>
        <v>425</v>
      </c>
      <c r="AF14" s="43">
        <f>+AE14*AD14</f>
        <v>38250</v>
      </c>
      <c r="AG14" s="44">
        <f>18*5</f>
        <v>90</v>
      </c>
      <c r="AH14" s="14">
        <f>AE14</f>
        <v>425</v>
      </c>
      <c r="AI14" s="43">
        <f>+AH14*AG14</f>
        <v>38250</v>
      </c>
      <c r="AJ14" s="44">
        <f>15*5</f>
        <v>75</v>
      </c>
      <c r="AK14" s="14">
        <f>AH14</f>
        <v>425</v>
      </c>
      <c r="AL14" s="43">
        <f>+AK14*AJ14</f>
        <v>31875</v>
      </c>
      <c r="AM14" s="409">
        <f t="shared" si="0"/>
        <v>433500</v>
      </c>
      <c r="AN14" s="111">
        <f>AM14/$AM$55</f>
        <v>9.2727272727272728E-2</v>
      </c>
      <c r="AP14">
        <v>60</v>
      </c>
    </row>
    <row r="15" spans="1:42">
      <c r="B15" t="s">
        <v>35</v>
      </c>
      <c r="C15" s="42">
        <f>10*1</f>
        <v>10</v>
      </c>
      <c r="D15" s="14">
        <v>3000</v>
      </c>
      <c r="E15" s="43">
        <f>+D15*C15</f>
        <v>30000</v>
      </c>
      <c r="F15" s="44">
        <f>10*1</f>
        <v>10</v>
      </c>
      <c r="G15" s="14">
        <f>D15</f>
        <v>3000</v>
      </c>
      <c r="H15" s="43">
        <f>+F15*G15</f>
        <v>30000</v>
      </c>
      <c r="I15" s="44">
        <f>10*1</f>
        <v>10</v>
      </c>
      <c r="J15" s="14">
        <f>G15</f>
        <v>3000</v>
      </c>
      <c r="K15" s="43">
        <f>+I15*J15</f>
        <v>30000</v>
      </c>
      <c r="L15" s="44">
        <f>10*1</f>
        <v>10</v>
      </c>
      <c r="M15" s="14">
        <f>J15</f>
        <v>3000</v>
      </c>
      <c r="N15" s="43">
        <f>+L15*M15</f>
        <v>30000</v>
      </c>
      <c r="O15" s="44">
        <f>10*1</f>
        <v>10</v>
      </c>
      <c r="P15" s="14">
        <f>M15</f>
        <v>3000</v>
      </c>
      <c r="Q15" s="43">
        <f>+O15*P15</f>
        <v>30000</v>
      </c>
      <c r="R15" s="44">
        <f>10*1</f>
        <v>10</v>
      </c>
      <c r="S15" s="14">
        <f>P15</f>
        <v>3000</v>
      </c>
      <c r="T15" s="43">
        <f>+R15*S15</f>
        <v>30000</v>
      </c>
      <c r="U15" s="44">
        <v>5</v>
      </c>
      <c r="V15" s="14">
        <f>S15</f>
        <v>3000</v>
      </c>
      <c r="W15" s="43">
        <f>+U15*V15</f>
        <v>15000</v>
      </c>
      <c r="X15" s="44">
        <v>0</v>
      </c>
      <c r="Y15" s="14">
        <f>V15</f>
        <v>3000</v>
      </c>
      <c r="Z15" s="43">
        <f>+X15*Y15</f>
        <v>0</v>
      </c>
      <c r="AA15" s="44">
        <v>5</v>
      </c>
      <c r="AB15" s="14">
        <f>Y15</f>
        <v>3000</v>
      </c>
      <c r="AC15" s="43">
        <f>+AA15*AB15</f>
        <v>15000</v>
      </c>
      <c r="AD15" s="44">
        <v>10</v>
      </c>
      <c r="AE15" s="14">
        <f>AB15</f>
        <v>3000</v>
      </c>
      <c r="AF15" s="43">
        <f>+AD15*AE15</f>
        <v>30000</v>
      </c>
      <c r="AG15" s="44">
        <v>10</v>
      </c>
      <c r="AH15" s="14">
        <f>AE15</f>
        <v>3000</v>
      </c>
      <c r="AI15" s="43">
        <f>+AG15*AH15</f>
        <v>30000</v>
      </c>
      <c r="AJ15" s="44">
        <v>0</v>
      </c>
      <c r="AK15" s="14">
        <f>AH15</f>
        <v>3000</v>
      </c>
      <c r="AL15" s="43">
        <f>+AJ15*AK15</f>
        <v>0</v>
      </c>
      <c r="AM15" s="409">
        <f t="shared" si="0"/>
        <v>270000</v>
      </c>
      <c r="AN15" s="111">
        <f>AM15/$AM$55</f>
        <v>5.7754010695187166E-2</v>
      </c>
      <c r="AP15">
        <v>10</v>
      </c>
    </row>
    <row r="16" spans="1:42">
      <c r="B16" t="s">
        <v>126</v>
      </c>
      <c r="C16" s="42"/>
      <c r="D16" s="21"/>
      <c r="E16" s="43"/>
      <c r="F16" s="44"/>
      <c r="G16" s="21"/>
      <c r="H16" s="43"/>
      <c r="I16" s="44"/>
      <c r="J16" s="21"/>
      <c r="K16" s="43"/>
      <c r="L16" s="44"/>
      <c r="M16" s="21"/>
      <c r="N16" s="43"/>
      <c r="O16" s="44"/>
      <c r="P16" s="21"/>
      <c r="Q16" s="43"/>
      <c r="R16" s="44"/>
      <c r="S16" s="21"/>
      <c r="T16" s="43"/>
      <c r="U16" s="44"/>
      <c r="V16" s="21"/>
      <c r="W16" s="43"/>
      <c r="X16" s="44"/>
      <c r="Y16" s="21"/>
      <c r="Z16" s="43"/>
      <c r="AA16" s="44"/>
      <c r="AB16" s="21"/>
      <c r="AC16" s="43"/>
      <c r="AD16" s="44"/>
      <c r="AE16" s="21"/>
      <c r="AF16" s="43"/>
      <c r="AG16" s="44"/>
      <c r="AH16" s="21"/>
      <c r="AI16" s="43"/>
      <c r="AJ16" s="44"/>
      <c r="AK16" s="21"/>
      <c r="AL16" s="43"/>
      <c r="AM16" s="409">
        <f t="shared" si="0"/>
        <v>0</v>
      </c>
    </row>
    <row r="17" spans="2:42">
      <c r="B17" s="31" t="s">
        <v>36</v>
      </c>
      <c r="C17" s="42"/>
      <c r="D17" s="47"/>
      <c r="E17" s="48">
        <f>SUM(E14:E16)</f>
        <v>61875</v>
      </c>
      <c r="F17" s="48"/>
      <c r="G17" s="48"/>
      <c r="H17" s="48">
        <f>SUM(H14:H16)</f>
        <v>68250</v>
      </c>
      <c r="I17" s="48"/>
      <c r="J17" s="48"/>
      <c r="K17" s="48">
        <f>SUM(K14:K16)</f>
        <v>78875</v>
      </c>
      <c r="L17" s="48"/>
      <c r="M17" s="48"/>
      <c r="N17" s="48">
        <f>SUM(N14:N16)</f>
        <v>78875</v>
      </c>
      <c r="O17" s="48"/>
      <c r="P17" s="48"/>
      <c r="Q17" s="48">
        <f>SUM(Q14:Q16)</f>
        <v>68250</v>
      </c>
      <c r="R17" s="48"/>
      <c r="S17" s="48"/>
      <c r="T17" s="48">
        <f>SUM(T14:T16)</f>
        <v>78875</v>
      </c>
      <c r="U17" s="48"/>
      <c r="V17" s="48"/>
      <c r="W17" s="48">
        <f>SUM(W14:W16)</f>
        <v>36250</v>
      </c>
      <c r="X17" s="48"/>
      <c r="Y17" s="48"/>
      <c r="Z17" s="48">
        <f>SUM(Z14:Z16)</f>
        <v>21250</v>
      </c>
      <c r="AA17" s="48"/>
      <c r="AB17" s="48"/>
      <c r="AC17" s="48">
        <f>SUM(AC14:AC16)</f>
        <v>42625</v>
      </c>
      <c r="AD17" s="48"/>
      <c r="AE17" s="48"/>
      <c r="AF17" s="48">
        <f>SUM(AF14:AF16)</f>
        <v>68250</v>
      </c>
      <c r="AG17" s="48"/>
      <c r="AH17" s="48"/>
      <c r="AI17" s="48">
        <f>SUM(AI14:AI16)</f>
        <v>68250</v>
      </c>
      <c r="AJ17" s="48"/>
      <c r="AK17" s="48"/>
      <c r="AL17" s="48">
        <f>SUM(AL14:AL16)</f>
        <v>31875</v>
      </c>
      <c r="AM17" s="409">
        <f t="shared" si="0"/>
        <v>703500</v>
      </c>
      <c r="AN17" s="111">
        <f>AM17/$AM$55</f>
        <v>0.15048128342245989</v>
      </c>
    </row>
    <row r="18" spans="2:42" ht="15">
      <c r="B18" s="38" t="s">
        <v>682</v>
      </c>
      <c r="C18" s="42"/>
      <c r="D18" s="47"/>
      <c r="E18" s="48"/>
      <c r="F18" s="44"/>
      <c r="G18" s="47"/>
      <c r="H18" s="48"/>
      <c r="I18" s="44"/>
      <c r="J18" s="47"/>
      <c r="K18" s="48"/>
      <c r="L18" s="44"/>
      <c r="M18" s="47"/>
      <c r="N18" s="48"/>
      <c r="O18" s="44"/>
      <c r="P18" s="47"/>
      <c r="Q18" s="48"/>
      <c r="R18" s="44"/>
      <c r="S18" s="47"/>
      <c r="T18" s="48"/>
      <c r="U18" s="44"/>
      <c r="V18" s="47"/>
      <c r="W18" s="48"/>
      <c r="X18" s="44"/>
      <c r="Y18" s="47"/>
      <c r="Z18" s="48"/>
      <c r="AA18" s="44"/>
      <c r="AB18" s="47"/>
      <c r="AC18" s="48"/>
      <c r="AD18" s="44"/>
      <c r="AE18" s="47"/>
      <c r="AF18" s="48"/>
      <c r="AG18" s="44"/>
      <c r="AH18" s="47"/>
      <c r="AI18" s="48"/>
      <c r="AJ18" s="44"/>
      <c r="AK18" s="47"/>
      <c r="AL18" s="48"/>
      <c r="AM18" s="409">
        <f t="shared" si="0"/>
        <v>0</v>
      </c>
    </row>
    <row r="19" spans="2:42">
      <c r="B19" t="s">
        <v>35</v>
      </c>
      <c r="C19" s="42">
        <f>2*1</f>
        <v>2</v>
      </c>
      <c r="D19" s="14">
        <v>1800</v>
      </c>
      <c r="E19" s="43">
        <f>+D19*C19</f>
        <v>3600</v>
      </c>
      <c r="F19" s="44">
        <v>2</v>
      </c>
      <c r="G19" s="14">
        <f>D19</f>
        <v>1800</v>
      </c>
      <c r="H19" s="43">
        <f>+G19*F19</f>
        <v>3600</v>
      </c>
      <c r="I19" s="44">
        <v>2</v>
      </c>
      <c r="J19" s="14">
        <f>G19</f>
        <v>1800</v>
      </c>
      <c r="K19" s="43">
        <f>+J19*I19</f>
        <v>3600</v>
      </c>
      <c r="L19" s="44">
        <v>2</v>
      </c>
      <c r="M19" s="14">
        <f>J19</f>
        <v>1800</v>
      </c>
      <c r="N19" s="43">
        <f>+M19*L19</f>
        <v>3600</v>
      </c>
      <c r="O19" s="44">
        <v>2</v>
      </c>
      <c r="P19" s="14">
        <f>M19</f>
        <v>1800</v>
      </c>
      <c r="Q19" s="43">
        <f>+P19*O19</f>
        <v>3600</v>
      </c>
      <c r="R19" s="44">
        <v>2</v>
      </c>
      <c r="S19" s="14">
        <f>P19</f>
        <v>1800</v>
      </c>
      <c r="T19" s="43">
        <f>+S19*R19</f>
        <v>3600</v>
      </c>
      <c r="U19" s="44">
        <v>0</v>
      </c>
      <c r="V19" s="14">
        <f>S19</f>
        <v>1800</v>
      </c>
      <c r="W19" s="43">
        <f>+V19*U19</f>
        <v>0</v>
      </c>
      <c r="X19" s="44">
        <v>0</v>
      </c>
      <c r="Y19" s="14">
        <f>V19</f>
        <v>1800</v>
      </c>
      <c r="Z19" s="43">
        <f>+Y19*X19</f>
        <v>0</v>
      </c>
      <c r="AA19" s="44">
        <v>0</v>
      </c>
      <c r="AB19" s="14">
        <f>Y19</f>
        <v>1800</v>
      </c>
      <c r="AC19" s="43">
        <f>+AB19*AA19</f>
        <v>0</v>
      </c>
      <c r="AD19" s="44">
        <v>2</v>
      </c>
      <c r="AE19" s="14">
        <f>AB19</f>
        <v>1800</v>
      </c>
      <c r="AF19" s="43">
        <f>+AE19*AD19</f>
        <v>3600</v>
      </c>
      <c r="AG19" s="44">
        <v>2</v>
      </c>
      <c r="AH19" s="14">
        <f>AE19</f>
        <v>1800</v>
      </c>
      <c r="AI19" s="43">
        <f>+AH19*AG19</f>
        <v>3600</v>
      </c>
      <c r="AJ19" s="44">
        <v>2</v>
      </c>
      <c r="AK19" s="14">
        <f>AH19</f>
        <v>1800</v>
      </c>
      <c r="AL19" s="43">
        <f>+AK19*AJ19</f>
        <v>3600</v>
      </c>
      <c r="AM19" s="409">
        <f t="shared" si="0"/>
        <v>32400</v>
      </c>
      <c r="AN19" s="111">
        <f>AM19/$AM$55</f>
        <v>6.9304812834224596E-3</v>
      </c>
      <c r="AO19" s="45" t="e">
        <f>AM19+#REF!+AM61</f>
        <v>#REF!</v>
      </c>
      <c r="AP19">
        <v>10</v>
      </c>
    </row>
    <row r="20" spans="2:42">
      <c r="B20" s="31" t="s">
        <v>36</v>
      </c>
      <c r="C20" s="42"/>
      <c r="D20" s="47"/>
      <c r="E20" s="48">
        <f>SUM(E19:E19)</f>
        <v>3600</v>
      </c>
      <c r="F20" s="48"/>
      <c r="G20" s="48"/>
      <c r="H20" s="48">
        <f>SUM(H19:H19)</f>
        <v>3600</v>
      </c>
      <c r="I20" s="48"/>
      <c r="J20" s="48"/>
      <c r="K20" s="48">
        <f>SUM(K19:K19)</f>
        <v>3600</v>
      </c>
      <c r="L20" s="48"/>
      <c r="M20" s="48"/>
      <c r="N20" s="48">
        <f>SUM(N19:N19)</f>
        <v>3600</v>
      </c>
      <c r="O20" s="48"/>
      <c r="P20" s="48"/>
      <c r="Q20" s="48">
        <f>SUM(Q19:Q19)</f>
        <v>3600</v>
      </c>
      <c r="R20" s="48"/>
      <c r="S20" s="48"/>
      <c r="T20" s="48">
        <f>SUM(T19:T19)</f>
        <v>3600</v>
      </c>
      <c r="U20" s="48"/>
      <c r="V20" s="48"/>
      <c r="W20" s="48">
        <f>SUM(W19:W19)</f>
        <v>0</v>
      </c>
      <c r="X20" s="48"/>
      <c r="Y20" s="48"/>
      <c r="Z20" s="48">
        <f>SUM(Z19:Z19)</f>
        <v>0</v>
      </c>
      <c r="AA20" s="48"/>
      <c r="AB20" s="48"/>
      <c r="AC20" s="48">
        <f>SUM(AC19:AC19)</f>
        <v>0</v>
      </c>
      <c r="AD20" s="48"/>
      <c r="AE20" s="48"/>
      <c r="AF20" s="48">
        <f>SUM(AF19:AF19)</f>
        <v>3600</v>
      </c>
      <c r="AG20" s="48"/>
      <c r="AH20" s="48"/>
      <c r="AI20" s="48">
        <f>SUM(AI19:AI19)</f>
        <v>3600</v>
      </c>
      <c r="AJ20" s="48"/>
      <c r="AK20" s="48"/>
      <c r="AL20" s="48">
        <f>SUM(AL19:AL19)</f>
        <v>3600</v>
      </c>
      <c r="AM20" s="409">
        <f t="shared" si="0"/>
        <v>32400</v>
      </c>
      <c r="AN20" s="111">
        <f>AM20/$AM$55</f>
        <v>6.9304812834224596E-3</v>
      </c>
    </row>
    <row r="21" spans="2:42" ht="15">
      <c r="B21" s="38" t="s">
        <v>683</v>
      </c>
      <c r="C21" s="42"/>
      <c r="D21" s="47"/>
      <c r="E21" s="48"/>
      <c r="F21" s="44"/>
      <c r="G21" s="47"/>
      <c r="H21" s="48"/>
      <c r="I21" s="44"/>
      <c r="J21" s="47"/>
      <c r="K21" s="48"/>
      <c r="L21" s="44"/>
      <c r="M21" s="47"/>
      <c r="N21" s="48"/>
      <c r="O21" s="44"/>
      <c r="P21" s="47"/>
      <c r="Q21" s="48"/>
      <c r="R21" s="44"/>
      <c r="S21" s="47"/>
      <c r="T21" s="48"/>
      <c r="U21" s="44"/>
      <c r="V21" s="47"/>
      <c r="W21" s="48"/>
      <c r="X21" s="44"/>
      <c r="Y21" s="47"/>
      <c r="Z21" s="48"/>
      <c r="AA21" s="44"/>
      <c r="AB21" s="47"/>
      <c r="AC21" s="48"/>
      <c r="AD21" s="44"/>
      <c r="AE21" s="47"/>
      <c r="AF21" s="48"/>
      <c r="AG21" s="44"/>
      <c r="AH21" s="47"/>
      <c r="AI21" s="48"/>
      <c r="AJ21" s="44"/>
      <c r="AK21" s="47"/>
      <c r="AL21" s="48"/>
      <c r="AM21" s="409">
        <f t="shared" si="0"/>
        <v>0</v>
      </c>
    </row>
    <row r="22" spans="2:42">
      <c r="B22" t="s">
        <v>35</v>
      </c>
      <c r="C22" s="42">
        <v>5</v>
      </c>
      <c r="D22" s="14">
        <v>3000</v>
      </c>
      <c r="E22" s="43">
        <f>+D22*C22</f>
        <v>15000</v>
      </c>
      <c r="F22" s="44">
        <v>5</v>
      </c>
      <c r="G22" s="443">
        <v>3000</v>
      </c>
      <c r="H22" s="444">
        <f>+G22*F22</f>
        <v>15000</v>
      </c>
      <c r="I22" s="44">
        <v>5</v>
      </c>
      <c r="J22" s="443">
        <v>3000</v>
      </c>
      <c r="K22" s="444">
        <f>+J22*I22</f>
        <v>15000</v>
      </c>
      <c r="L22" s="44">
        <v>5</v>
      </c>
      <c r="M22" s="443">
        <v>3000</v>
      </c>
      <c r="N22" s="444">
        <f>+M22*L22</f>
        <v>15000</v>
      </c>
      <c r="O22" s="44">
        <v>5</v>
      </c>
      <c r="P22" s="443">
        <v>3000</v>
      </c>
      <c r="Q22" s="444">
        <f>+P22*O22</f>
        <v>15000</v>
      </c>
      <c r="R22" s="44">
        <v>5</v>
      </c>
      <c r="S22" s="443">
        <v>3000</v>
      </c>
      <c r="T22" s="444">
        <f>+S22*R22</f>
        <v>15000</v>
      </c>
      <c r="U22" s="44">
        <v>0</v>
      </c>
      <c r="V22" s="443">
        <v>3000</v>
      </c>
      <c r="W22" s="444">
        <f>+V22*U22</f>
        <v>0</v>
      </c>
      <c r="X22" s="44">
        <v>0</v>
      </c>
      <c r="Y22" s="443">
        <v>3000</v>
      </c>
      <c r="Z22" s="444">
        <f>+Y22*X22</f>
        <v>0</v>
      </c>
      <c r="AA22" s="44">
        <v>3</v>
      </c>
      <c r="AB22" s="443">
        <v>3000</v>
      </c>
      <c r="AC22" s="444">
        <f>+AB22*AA22</f>
        <v>9000</v>
      </c>
      <c r="AD22" s="44">
        <v>5</v>
      </c>
      <c r="AE22" s="443">
        <v>3000</v>
      </c>
      <c r="AF22" s="444">
        <f>+AE22*AD22</f>
        <v>15000</v>
      </c>
      <c r="AG22" s="44">
        <v>5</v>
      </c>
      <c r="AH22" s="443">
        <v>3000</v>
      </c>
      <c r="AI22" s="444">
        <f>+AH22*AG22</f>
        <v>15000</v>
      </c>
      <c r="AJ22" s="44">
        <v>5</v>
      </c>
      <c r="AK22" s="443">
        <v>3000</v>
      </c>
      <c r="AL22" s="444">
        <f>+AK22*AJ22</f>
        <v>15000</v>
      </c>
      <c r="AM22" s="409">
        <f t="shared" si="0"/>
        <v>144000</v>
      </c>
    </row>
    <row r="23" spans="2:42">
      <c r="B23" s="31" t="s">
        <v>36</v>
      </c>
      <c r="C23" s="42"/>
      <c r="D23" s="47"/>
      <c r="E23" s="48">
        <f>SUM(E22:E22)</f>
        <v>15000</v>
      </c>
      <c r="F23" s="48"/>
      <c r="G23" s="48"/>
      <c r="H23" s="48">
        <f>SUM(H22:H22)</f>
        <v>15000</v>
      </c>
      <c r="I23" s="48"/>
      <c r="J23" s="48"/>
      <c r="K23" s="48">
        <f>SUM(K22:K22)</f>
        <v>15000</v>
      </c>
      <c r="L23" s="48"/>
      <c r="M23" s="48"/>
      <c r="N23" s="48">
        <f>SUM(N22:N22)</f>
        <v>15000</v>
      </c>
      <c r="O23" s="48"/>
      <c r="P23" s="48"/>
      <c r="Q23" s="48">
        <f>SUM(Q22:Q22)</f>
        <v>15000</v>
      </c>
      <c r="R23" s="48"/>
      <c r="S23" s="48"/>
      <c r="T23" s="48">
        <f>SUM(T22:T22)</f>
        <v>15000</v>
      </c>
      <c r="U23" s="48"/>
      <c r="V23" s="48"/>
      <c r="W23" s="48">
        <f>SUM(W22:W22)</f>
        <v>0</v>
      </c>
      <c r="X23" s="48"/>
      <c r="Y23" s="48"/>
      <c r="Z23" s="48">
        <f>SUM(Z22:Z22)</f>
        <v>0</v>
      </c>
      <c r="AA23" s="48"/>
      <c r="AB23" s="48"/>
      <c r="AC23" s="48">
        <f>SUM(AC22:AC22)</f>
        <v>9000</v>
      </c>
      <c r="AD23" s="48"/>
      <c r="AE23" s="48"/>
      <c r="AF23" s="48">
        <f>SUM(AF22:AF22)</f>
        <v>15000</v>
      </c>
      <c r="AG23" s="48"/>
      <c r="AH23" s="48"/>
      <c r="AI23" s="48">
        <f>SUM(AI22:AI22)</f>
        <v>15000</v>
      </c>
      <c r="AJ23" s="48"/>
      <c r="AK23" s="48"/>
      <c r="AL23" s="48">
        <f>SUM(AL22:AL22)</f>
        <v>15000</v>
      </c>
      <c r="AM23" s="409">
        <f t="shared" si="0"/>
        <v>144000</v>
      </c>
    </row>
    <row r="24" spans="2:42" ht="15">
      <c r="B24" s="38" t="s">
        <v>128</v>
      </c>
      <c r="C24" s="42"/>
      <c r="D24" s="47"/>
      <c r="E24" s="48"/>
      <c r="F24" s="44"/>
      <c r="G24" s="47"/>
      <c r="H24" s="48"/>
      <c r="I24" s="44"/>
      <c r="J24" s="47"/>
      <c r="K24" s="48"/>
      <c r="L24" s="44"/>
      <c r="M24" s="47"/>
      <c r="N24" s="48"/>
      <c r="O24" s="44"/>
      <c r="P24" s="47"/>
      <c r="Q24" s="48"/>
      <c r="R24" s="44"/>
      <c r="S24" s="47"/>
      <c r="T24" s="48"/>
      <c r="U24" s="44"/>
      <c r="V24" s="47"/>
      <c r="W24" s="48"/>
      <c r="X24" s="44"/>
      <c r="Y24" s="47"/>
      <c r="Z24" s="48"/>
      <c r="AA24" s="44"/>
      <c r="AB24" s="47"/>
      <c r="AC24" s="48"/>
      <c r="AD24" s="44"/>
      <c r="AE24" s="47"/>
      <c r="AF24" s="48"/>
      <c r="AG24" s="44"/>
      <c r="AH24" s="47"/>
      <c r="AI24" s="48"/>
      <c r="AJ24" s="44"/>
      <c r="AK24" s="47"/>
      <c r="AL24" s="48"/>
      <c r="AM24" s="409">
        <f t="shared" si="0"/>
        <v>0</v>
      </c>
    </row>
    <row r="25" spans="2:42">
      <c r="B25" t="s">
        <v>689</v>
      </c>
      <c r="C25" s="42">
        <v>5</v>
      </c>
      <c r="D25" s="14">
        <v>1500</v>
      </c>
      <c r="E25" s="43">
        <f>+D25*C25</f>
        <v>7500</v>
      </c>
      <c r="F25" s="44">
        <v>5</v>
      </c>
      <c r="G25" s="14">
        <f>D25</f>
        <v>1500</v>
      </c>
      <c r="H25" s="43">
        <f>+G25*F25</f>
        <v>7500</v>
      </c>
      <c r="I25" s="44">
        <v>5</v>
      </c>
      <c r="J25" s="14">
        <f>G25</f>
        <v>1500</v>
      </c>
      <c r="K25" s="43">
        <f>+J25*I25</f>
        <v>7500</v>
      </c>
      <c r="L25" s="44">
        <v>5</v>
      </c>
      <c r="M25" s="14">
        <f>J25</f>
        <v>1500</v>
      </c>
      <c r="N25" s="43">
        <f>+M25*L25</f>
        <v>7500</v>
      </c>
      <c r="O25" s="44">
        <v>5</v>
      </c>
      <c r="P25" s="14">
        <f>M25</f>
        <v>1500</v>
      </c>
      <c r="Q25" s="43">
        <f>+P25*O25</f>
        <v>7500</v>
      </c>
      <c r="R25" s="44">
        <v>5</v>
      </c>
      <c r="S25" s="14">
        <f>P25</f>
        <v>1500</v>
      </c>
      <c r="T25" s="43">
        <f>+S25*R25</f>
        <v>7500</v>
      </c>
      <c r="U25" s="44">
        <v>0</v>
      </c>
      <c r="V25" s="14">
        <f>S25</f>
        <v>1500</v>
      </c>
      <c r="W25" s="43">
        <f>+V25*U25</f>
        <v>0</v>
      </c>
      <c r="X25" s="44">
        <v>0</v>
      </c>
      <c r="Y25" s="14">
        <f>V25</f>
        <v>1500</v>
      </c>
      <c r="Z25" s="43">
        <f>+Y25*X25</f>
        <v>0</v>
      </c>
      <c r="AA25" s="44">
        <v>0</v>
      </c>
      <c r="AB25" s="14">
        <f>Y25</f>
        <v>1500</v>
      </c>
      <c r="AC25" s="43">
        <f>+AB25*AA25</f>
        <v>0</v>
      </c>
      <c r="AD25" s="44">
        <v>5</v>
      </c>
      <c r="AE25" s="14">
        <f>AB25</f>
        <v>1500</v>
      </c>
      <c r="AF25" s="43">
        <f>+AE25*AD25</f>
        <v>7500</v>
      </c>
      <c r="AG25" s="44">
        <v>5</v>
      </c>
      <c r="AH25" s="14">
        <f>AE25</f>
        <v>1500</v>
      </c>
      <c r="AI25" s="43">
        <f>+AH25*AG25</f>
        <v>7500</v>
      </c>
      <c r="AJ25" s="44">
        <v>0</v>
      </c>
      <c r="AK25" s="14">
        <f>AH25</f>
        <v>1500</v>
      </c>
      <c r="AL25" s="43">
        <f>+AK25*AJ25</f>
        <v>0</v>
      </c>
      <c r="AM25" s="409">
        <f t="shared" si="0"/>
        <v>60000</v>
      </c>
      <c r="AN25" s="111">
        <f>AM25/$AM$55</f>
        <v>1.2834224598930482E-2</v>
      </c>
      <c r="AO25" s="45">
        <f>AM25+AM37+AM66</f>
        <v>60000</v>
      </c>
      <c r="AP25">
        <v>5</v>
      </c>
    </row>
    <row r="26" spans="2:42">
      <c r="B26" s="31" t="s">
        <v>36</v>
      </c>
      <c r="C26" s="46"/>
      <c r="D26" s="47"/>
      <c r="E26" s="48">
        <f>SUM(E25:E25)</f>
        <v>7500</v>
      </c>
      <c r="F26" s="48"/>
      <c r="G26" s="48"/>
      <c r="H26" s="48">
        <f>SUM(H25:H25)</f>
        <v>7500</v>
      </c>
      <c r="I26" s="48"/>
      <c r="J26" s="48"/>
      <c r="K26" s="48">
        <f>SUM(K25:K25)</f>
        <v>7500</v>
      </c>
      <c r="L26" s="48"/>
      <c r="M26" s="48"/>
      <c r="N26" s="48">
        <f>SUM(N25:N25)</f>
        <v>7500</v>
      </c>
      <c r="O26" s="48"/>
      <c r="P26" s="48"/>
      <c r="Q26" s="48">
        <f>SUM(Q25:Q25)</f>
        <v>7500</v>
      </c>
      <c r="R26" s="48"/>
      <c r="S26" s="48"/>
      <c r="T26" s="48">
        <f>SUM(T25:T25)</f>
        <v>7500</v>
      </c>
      <c r="U26" s="48"/>
      <c r="V26" s="48"/>
      <c r="W26" s="48">
        <f>SUM(W25:W25)</f>
        <v>0</v>
      </c>
      <c r="X26" s="48"/>
      <c r="Y26" s="48"/>
      <c r="Z26" s="48">
        <f>SUM(Z25:Z25)</f>
        <v>0</v>
      </c>
      <c r="AA26" s="48"/>
      <c r="AB26" s="48"/>
      <c r="AC26" s="48">
        <f>SUM(AC25:AC25)</f>
        <v>0</v>
      </c>
      <c r="AD26" s="48"/>
      <c r="AE26" s="48"/>
      <c r="AF26" s="48">
        <f>SUM(AF25:AF25)</f>
        <v>7500</v>
      </c>
      <c r="AG26" s="48"/>
      <c r="AH26" s="48"/>
      <c r="AI26" s="48">
        <f>SUM(AI25:AI25)</f>
        <v>7500</v>
      </c>
      <c r="AJ26" s="48"/>
      <c r="AK26" s="48"/>
      <c r="AL26" s="48">
        <f>SUM(AL25:AL25)</f>
        <v>0</v>
      </c>
      <c r="AM26" s="409">
        <f t="shared" si="0"/>
        <v>60000</v>
      </c>
      <c r="AN26" s="111">
        <f>AM26/$AM$55</f>
        <v>1.2834224598930482E-2</v>
      </c>
    </row>
    <row r="27" spans="2:42" ht="15">
      <c r="B27" s="38" t="s">
        <v>632</v>
      </c>
      <c r="C27" s="46"/>
      <c r="D27" s="47"/>
      <c r="E27" s="48"/>
      <c r="F27" s="44"/>
      <c r="G27" s="47"/>
      <c r="H27" s="48"/>
      <c r="I27" s="44"/>
      <c r="J27" s="47"/>
      <c r="K27" s="48"/>
      <c r="L27" s="44"/>
      <c r="M27" s="47"/>
      <c r="N27" s="48"/>
      <c r="O27" s="44"/>
      <c r="P27" s="47"/>
      <c r="Q27" s="48"/>
      <c r="R27" s="44"/>
      <c r="S27" s="47"/>
      <c r="T27" s="48"/>
      <c r="U27" s="44"/>
      <c r="V27" s="47"/>
      <c r="W27" s="48"/>
      <c r="X27" s="44"/>
      <c r="Y27" s="47"/>
      <c r="Z27" s="48"/>
      <c r="AA27" s="44"/>
      <c r="AB27" s="47"/>
      <c r="AC27" s="48"/>
      <c r="AD27" s="44"/>
      <c r="AE27" s="47"/>
      <c r="AF27" s="48"/>
      <c r="AG27" s="44"/>
      <c r="AH27" s="47"/>
      <c r="AI27" s="48"/>
      <c r="AJ27" s="44"/>
      <c r="AK27" s="47"/>
      <c r="AL27" s="48"/>
      <c r="AM27" s="409">
        <f t="shared" si="0"/>
        <v>0</v>
      </c>
    </row>
    <row r="28" spans="2:42">
      <c r="B28" t="s">
        <v>690</v>
      </c>
      <c r="C28" s="442">
        <v>2</v>
      </c>
      <c r="D28" s="443">
        <v>6000</v>
      </c>
      <c r="E28" s="444">
        <f>+D28*C28</f>
        <v>12000</v>
      </c>
      <c r="F28" s="44">
        <v>3</v>
      </c>
      <c r="G28" s="443">
        <v>6000</v>
      </c>
      <c r="H28" s="444">
        <f>+G28*F28</f>
        <v>18000</v>
      </c>
      <c r="I28" s="44">
        <v>4</v>
      </c>
      <c r="J28" s="443">
        <v>6000</v>
      </c>
      <c r="K28" s="444">
        <f>+J28*I28</f>
        <v>24000</v>
      </c>
      <c r="L28" s="44">
        <v>5</v>
      </c>
      <c r="M28" s="443">
        <v>6000</v>
      </c>
      <c r="N28" s="444">
        <f>+M28*L28</f>
        <v>30000</v>
      </c>
      <c r="O28" s="44">
        <v>5</v>
      </c>
      <c r="P28" s="443">
        <v>6000</v>
      </c>
      <c r="Q28" s="444">
        <f>+P28*O28</f>
        <v>30000</v>
      </c>
      <c r="R28" s="44">
        <v>5</v>
      </c>
      <c r="S28" s="443">
        <v>6000</v>
      </c>
      <c r="T28" s="444">
        <f>+S28*R28</f>
        <v>30000</v>
      </c>
      <c r="U28" s="44">
        <v>3</v>
      </c>
      <c r="V28" s="443">
        <v>6000</v>
      </c>
      <c r="W28" s="444">
        <f>+V28*U28</f>
        <v>18000</v>
      </c>
      <c r="X28" s="44">
        <v>3</v>
      </c>
      <c r="Y28" s="443">
        <v>6000</v>
      </c>
      <c r="Z28" s="444">
        <f>+Y28*X28</f>
        <v>18000</v>
      </c>
      <c r="AA28" s="44">
        <v>4</v>
      </c>
      <c r="AB28" s="443">
        <v>6000</v>
      </c>
      <c r="AC28" s="444">
        <f>+AB28*AA28</f>
        <v>24000</v>
      </c>
      <c r="AD28" s="44">
        <v>5</v>
      </c>
      <c r="AE28" s="443">
        <v>6000</v>
      </c>
      <c r="AF28" s="444">
        <f>+AE28*AD28</f>
        <v>30000</v>
      </c>
      <c r="AG28" s="44">
        <v>5</v>
      </c>
      <c r="AH28" s="443">
        <v>6000</v>
      </c>
      <c r="AI28" s="444">
        <f>+AH28*AG28</f>
        <v>30000</v>
      </c>
      <c r="AJ28" s="44">
        <v>3</v>
      </c>
      <c r="AK28" s="443">
        <v>6000</v>
      </c>
      <c r="AL28" s="444">
        <f>+AK28*AJ28</f>
        <v>18000</v>
      </c>
      <c r="AM28" s="409">
        <f t="shared" si="0"/>
        <v>282000</v>
      </c>
    </row>
    <row r="29" spans="2:42">
      <c r="B29" s="31" t="s">
        <v>36</v>
      </c>
      <c r="C29" s="46"/>
      <c r="D29" s="47"/>
      <c r="E29" s="48">
        <f>SUM(E28:E28)</f>
        <v>12000</v>
      </c>
      <c r="F29" s="48"/>
      <c r="G29" s="48"/>
      <c r="H29" s="48">
        <f>SUM(H28:H28)</f>
        <v>18000</v>
      </c>
      <c r="I29" s="48"/>
      <c r="J29" s="48"/>
      <c r="K29" s="48">
        <f>SUM(K28:K28)</f>
        <v>24000</v>
      </c>
      <c r="L29" s="48"/>
      <c r="M29" s="48"/>
      <c r="N29" s="48">
        <f>SUM(N28:N28)</f>
        <v>30000</v>
      </c>
      <c r="O29" s="48"/>
      <c r="P29" s="48"/>
      <c r="Q29" s="48">
        <f>SUM(Q28:Q28)</f>
        <v>30000</v>
      </c>
      <c r="R29" s="48"/>
      <c r="S29" s="48"/>
      <c r="T29" s="48">
        <f>SUM(T28:T28)</f>
        <v>30000</v>
      </c>
      <c r="U29" s="48"/>
      <c r="V29" s="48"/>
      <c r="W29" s="48">
        <f>SUM(W28:W28)</f>
        <v>18000</v>
      </c>
      <c r="X29" s="48"/>
      <c r="Y29" s="48"/>
      <c r="Z29" s="48">
        <f>SUM(Z28:Z28)</f>
        <v>18000</v>
      </c>
      <c r="AA29" s="48"/>
      <c r="AB29" s="48"/>
      <c r="AC29" s="48">
        <f>SUM(AC28:AC28)</f>
        <v>24000</v>
      </c>
      <c r="AD29" s="48"/>
      <c r="AE29" s="48"/>
      <c r="AF29" s="48">
        <f>SUM(AF28:AF28)</f>
        <v>30000</v>
      </c>
      <c r="AG29" s="48"/>
      <c r="AH29" s="48"/>
      <c r="AI29" s="48">
        <f>SUM(AI28:AI28)</f>
        <v>30000</v>
      </c>
      <c r="AJ29" s="48"/>
      <c r="AK29" s="48"/>
      <c r="AL29" s="48">
        <f>SUM(AL28:AL28)</f>
        <v>18000</v>
      </c>
      <c r="AM29" s="409">
        <f t="shared" si="0"/>
        <v>282000</v>
      </c>
    </row>
    <row r="30" spans="2:42" ht="15">
      <c r="B30" s="38" t="s">
        <v>129</v>
      </c>
      <c r="C30" s="42"/>
      <c r="D30" s="47"/>
      <c r="E30" s="48"/>
      <c r="F30" s="44"/>
      <c r="G30" s="47"/>
      <c r="H30" s="48"/>
      <c r="I30" s="44"/>
      <c r="J30" s="47"/>
      <c r="K30" s="48"/>
      <c r="L30" s="44"/>
      <c r="M30" s="47"/>
      <c r="N30" s="48"/>
      <c r="O30" s="44"/>
      <c r="P30" s="47"/>
      <c r="Q30" s="48"/>
      <c r="R30" s="44"/>
      <c r="S30" s="47"/>
      <c r="T30" s="48"/>
      <c r="U30" s="44"/>
      <c r="V30" s="47"/>
      <c r="W30" s="48"/>
      <c r="X30" s="44"/>
      <c r="Y30" s="47"/>
      <c r="Z30" s="48"/>
      <c r="AA30" s="44"/>
      <c r="AB30" s="47"/>
      <c r="AC30" s="48"/>
      <c r="AD30" s="44"/>
      <c r="AE30" s="47"/>
      <c r="AF30" s="48"/>
      <c r="AG30" s="44"/>
      <c r="AH30" s="47"/>
      <c r="AI30" s="48"/>
      <c r="AJ30" s="44"/>
      <c r="AK30" s="47"/>
      <c r="AL30" s="48"/>
      <c r="AM30" s="409">
        <f t="shared" si="0"/>
        <v>0</v>
      </c>
    </row>
    <row r="31" spans="2:42">
      <c r="B31" t="s">
        <v>130</v>
      </c>
      <c r="C31" s="42">
        <v>40</v>
      </c>
      <c r="D31" s="14">
        <v>360</v>
      </c>
      <c r="E31" s="43">
        <f>+D31*C31</f>
        <v>14400</v>
      </c>
      <c r="F31" s="44">
        <v>60</v>
      </c>
      <c r="G31" s="14">
        <f>D31</f>
        <v>360</v>
      </c>
      <c r="H31" s="43">
        <f>+G31*F31</f>
        <v>21600</v>
      </c>
      <c r="I31" s="44">
        <v>100</v>
      </c>
      <c r="J31" s="14">
        <f>G31</f>
        <v>360</v>
      </c>
      <c r="K31" s="43">
        <f>+J31*I31</f>
        <v>36000</v>
      </c>
      <c r="L31" s="44">
        <v>125</v>
      </c>
      <c r="M31" s="14">
        <f>J31</f>
        <v>360</v>
      </c>
      <c r="N31" s="43">
        <f>+M31*L31</f>
        <v>45000</v>
      </c>
      <c r="O31" s="44">
        <v>125</v>
      </c>
      <c r="P31" s="14">
        <f>M31</f>
        <v>360</v>
      </c>
      <c r="Q31" s="43">
        <f>+P31*O31</f>
        <v>45000</v>
      </c>
      <c r="R31" s="44">
        <v>125</v>
      </c>
      <c r="S31" s="14">
        <f>P31</f>
        <v>360</v>
      </c>
      <c r="T31" s="43">
        <f>+S31*R31</f>
        <v>45000</v>
      </c>
      <c r="U31" s="44">
        <v>125</v>
      </c>
      <c r="V31" s="14">
        <f>S31</f>
        <v>360</v>
      </c>
      <c r="W31" s="43">
        <f>+V31*U31</f>
        <v>45000</v>
      </c>
      <c r="X31" s="44">
        <v>100</v>
      </c>
      <c r="Y31" s="14">
        <f>V31</f>
        <v>360</v>
      </c>
      <c r="Z31" s="43">
        <f>+Y31*X31</f>
        <v>36000</v>
      </c>
      <c r="AA31" s="44">
        <v>100</v>
      </c>
      <c r="AB31" s="14">
        <f>Y31</f>
        <v>360</v>
      </c>
      <c r="AC31" s="43">
        <f>+AB31*AA31</f>
        <v>36000</v>
      </c>
      <c r="AD31" s="44">
        <v>125</v>
      </c>
      <c r="AE31" s="14">
        <f>AB31</f>
        <v>360</v>
      </c>
      <c r="AF31" s="43">
        <f>+AE31*AD31</f>
        <v>45000</v>
      </c>
      <c r="AG31" s="44">
        <v>100</v>
      </c>
      <c r="AH31" s="14">
        <f>AE31</f>
        <v>360</v>
      </c>
      <c r="AI31" s="43">
        <f>+AH31*AG31</f>
        <v>36000</v>
      </c>
      <c r="AJ31" s="44">
        <v>75</v>
      </c>
      <c r="AK31" s="14">
        <f>AH31</f>
        <v>360</v>
      </c>
      <c r="AL31" s="43">
        <f>+AK31*AJ31</f>
        <v>27000</v>
      </c>
      <c r="AM31" s="409">
        <f t="shared" si="0"/>
        <v>432000</v>
      </c>
      <c r="AN31" s="111">
        <f>AM31/$AM$55</f>
        <v>9.2406417112299466E-2</v>
      </c>
      <c r="AO31" s="45" t="e">
        <f>AM31+#REF!+AM71</f>
        <v>#REF!</v>
      </c>
    </row>
    <row r="32" spans="2:42">
      <c r="B32" s="31" t="s">
        <v>36</v>
      </c>
      <c r="C32" s="46"/>
      <c r="D32" s="47"/>
      <c r="E32" s="48">
        <f>SUM(E31:E31)</f>
        <v>14400</v>
      </c>
      <c r="F32" s="48"/>
      <c r="G32" s="48"/>
      <c r="H32" s="48">
        <f>SUM(H31:H31)</f>
        <v>21600</v>
      </c>
      <c r="I32" s="48"/>
      <c r="J32" s="48"/>
      <c r="K32" s="48">
        <f>SUM(K31:K31)</f>
        <v>36000</v>
      </c>
      <c r="L32" s="48"/>
      <c r="M32" s="48"/>
      <c r="N32" s="48">
        <f>SUM(N31:N31)</f>
        <v>45000</v>
      </c>
      <c r="O32" s="48"/>
      <c r="P32" s="48"/>
      <c r="Q32" s="48">
        <f>SUM(Q31:Q31)</f>
        <v>45000</v>
      </c>
      <c r="R32" s="48"/>
      <c r="S32" s="48"/>
      <c r="T32" s="48">
        <f>SUM(T31:T31)</f>
        <v>45000</v>
      </c>
      <c r="U32" s="48"/>
      <c r="V32" s="48"/>
      <c r="W32" s="48">
        <f>SUM(W31:W31)</f>
        <v>45000</v>
      </c>
      <c r="X32" s="48"/>
      <c r="Y32" s="48"/>
      <c r="Z32" s="48">
        <f>SUM(Z31:Z31)</f>
        <v>36000</v>
      </c>
      <c r="AA32" s="48"/>
      <c r="AB32" s="48"/>
      <c r="AC32" s="48">
        <f>SUM(AC31:AC31)</f>
        <v>36000</v>
      </c>
      <c r="AD32" s="48"/>
      <c r="AE32" s="48"/>
      <c r="AF32" s="48">
        <f>SUM(AF31:AF31)</f>
        <v>45000</v>
      </c>
      <c r="AG32" s="48"/>
      <c r="AH32" s="48"/>
      <c r="AI32" s="48">
        <f>SUM(AI31:AI31)</f>
        <v>36000</v>
      </c>
      <c r="AJ32" s="48"/>
      <c r="AK32" s="48"/>
      <c r="AL32" s="48">
        <f>SUM(AL31:AL31)</f>
        <v>27000</v>
      </c>
      <c r="AM32" s="409">
        <f t="shared" si="0"/>
        <v>432000</v>
      </c>
      <c r="AN32" s="111">
        <f>AM32/$AM$55</f>
        <v>9.2406417112299466E-2</v>
      </c>
    </row>
    <row r="33" spans="1:40" ht="15">
      <c r="B33" s="38" t="s">
        <v>684</v>
      </c>
      <c r="C33" s="46"/>
      <c r="D33" s="47"/>
      <c r="E33" s="48"/>
      <c r="F33" s="44"/>
      <c r="G33" s="47"/>
      <c r="H33" s="48"/>
      <c r="I33" s="44"/>
      <c r="J33" s="47"/>
      <c r="K33" s="48"/>
      <c r="L33" s="44"/>
      <c r="M33" s="47"/>
      <c r="N33" s="48"/>
      <c r="O33" s="44"/>
      <c r="P33" s="47"/>
      <c r="Q33" s="48"/>
      <c r="R33" s="44"/>
      <c r="S33" s="47"/>
      <c r="T33" s="48"/>
      <c r="U33" s="44"/>
      <c r="V33" s="47"/>
      <c r="W33" s="48"/>
      <c r="X33" s="44"/>
      <c r="Y33" s="47"/>
      <c r="Z33" s="48"/>
      <c r="AA33" s="44"/>
      <c r="AB33" s="47"/>
      <c r="AC33" s="48"/>
      <c r="AD33" s="44"/>
      <c r="AE33" s="47"/>
      <c r="AF33" s="48"/>
      <c r="AG33" s="44"/>
      <c r="AH33" s="47"/>
      <c r="AI33" s="48"/>
      <c r="AJ33" s="44"/>
      <c r="AK33" s="47"/>
      <c r="AL33" s="48"/>
      <c r="AM33" s="409">
        <f t="shared" si="0"/>
        <v>0</v>
      </c>
    </row>
    <row r="34" spans="1:40">
      <c r="B34" t="s">
        <v>130</v>
      </c>
      <c r="C34" s="442">
        <v>5</v>
      </c>
      <c r="D34" s="443">
        <v>175</v>
      </c>
      <c r="E34" s="444">
        <f>+D34*C34</f>
        <v>875</v>
      </c>
      <c r="F34" s="44">
        <v>10</v>
      </c>
      <c r="G34" s="443">
        <v>175</v>
      </c>
      <c r="H34" s="444">
        <f>+G34*F34</f>
        <v>1750</v>
      </c>
      <c r="I34" s="44">
        <v>25</v>
      </c>
      <c r="J34" s="443">
        <v>175</v>
      </c>
      <c r="K34" s="444">
        <f>+J34*I34</f>
        <v>4375</v>
      </c>
      <c r="L34" s="44">
        <v>25</v>
      </c>
      <c r="M34" s="443">
        <v>175</v>
      </c>
      <c r="N34" s="444">
        <f>+M34*L34</f>
        <v>4375</v>
      </c>
      <c r="O34" s="44">
        <v>25</v>
      </c>
      <c r="P34" s="443">
        <v>175</v>
      </c>
      <c r="Q34" s="444">
        <f>+P34*O34</f>
        <v>4375</v>
      </c>
      <c r="R34" s="44">
        <v>25</v>
      </c>
      <c r="S34" s="443">
        <v>175</v>
      </c>
      <c r="T34" s="444">
        <f>+S34*R34</f>
        <v>4375</v>
      </c>
      <c r="U34" s="44">
        <v>25</v>
      </c>
      <c r="V34" s="443">
        <v>175</v>
      </c>
      <c r="W34" s="444">
        <f>+V34*U34</f>
        <v>4375</v>
      </c>
      <c r="X34" s="44">
        <v>0</v>
      </c>
      <c r="Y34" s="443">
        <v>175</v>
      </c>
      <c r="Z34" s="444">
        <f>+Y34*X34</f>
        <v>0</v>
      </c>
      <c r="AA34" s="44">
        <v>25</v>
      </c>
      <c r="AB34" s="443">
        <v>175</v>
      </c>
      <c r="AC34" s="444">
        <f>+AB34*AA34</f>
        <v>4375</v>
      </c>
      <c r="AD34" s="44">
        <v>25</v>
      </c>
      <c r="AE34" s="443">
        <v>175</v>
      </c>
      <c r="AF34" s="444">
        <f>+AE34*AD34</f>
        <v>4375</v>
      </c>
      <c r="AG34" s="44">
        <v>10</v>
      </c>
      <c r="AH34" s="443">
        <v>175</v>
      </c>
      <c r="AI34" s="444">
        <f>+AH34*AG34</f>
        <v>1750</v>
      </c>
      <c r="AJ34" s="44">
        <v>5</v>
      </c>
      <c r="AK34" s="443">
        <v>175</v>
      </c>
      <c r="AL34" s="444">
        <f>+AK34*AJ34</f>
        <v>875</v>
      </c>
      <c r="AM34" s="409">
        <f t="shared" si="0"/>
        <v>35875</v>
      </c>
    </row>
    <row r="35" spans="1:40">
      <c r="B35" s="31" t="s">
        <v>36</v>
      </c>
      <c r="C35" s="46"/>
      <c r="D35" s="47"/>
      <c r="E35" s="48">
        <f>SUM(E34:E34)</f>
        <v>875</v>
      </c>
      <c r="F35" s="48"/>
      <c r="G35" s="48"/>
      <c r="H35" s="48">
        <f>SUM(H34:H34)</f>
        <v>1750</v>
      </c>
      <c r="I35" s="48"/>
      <c r="J35" s="48"/>
      <c r="K35" s="48">
        <f>SUM(K34:K34)</f>
        <v>4375</v>
      </c>
      <c r="L35" s="48"/>
      <c r="M35" s="48"/>
      <c r="N35" s="48">
        <f>SUM(N34:N34)</f>
        <v>4375</v>
      </c>
      <c r="O35" s="48"/>
      <c r="P35" s="48"/>
      <c r="Q35" s="48">
        <f>SUM(Q34:Q34)</f>
        <v>4375</v>
      </c>
      <c r="R35" s="48"/>
      <c r="S35" s="48"/>
      <c r="T35" s="48">
        <f>SUM(T34:T34)</f>
        <v>4375</v>
      </c>
      <c r="U35" s="48"/>
      <c r="V35" s="48"/>
      <c r="W35" s="48">
        <f>SUM(W34:W34)</f>
        <v>4375</v>
      </c>
      <c r="X35" s="48"/>
      <c r="Y35" s="48"/>
      <c r="Z35" s="48">
        <f>SUM(Z34:Z34)</f>
        <v>0</v>
      </c>
      <c r="AA35" s="48"/>
      <c r="AB35" s="48"/>
      <c r="AC35" s="48">
        <f>SUM(AC34:AC34)</f>
        <v>4375</v>
      </c>
      <c r="AD35" s="48"/>
      <c r="AE35" s="48"/>
      <c r="AF35" s="48">
        <f>SUM(AF34:AF34)</f>
        <v>4375</v>
      </c>
      <c r="AG35" s="48"/>
      <c r="AH35" s="48"/>
      <c r="AI35" s="48">
        <f>SUM(AI34:AI34)</f>
        <v>1750</v>
      </c>
      <c r="AJ35" s="48"/>
      <c r="AK35" s="48"/>
      <c r="AL35" s="48">
        <f>SUM(AL34:AL34)</f>
        <v>875</v>
      </c>
      <c r="AM35" s="409">
        <f t="shared" si="0"/>
        <v>35875</v>
      </c>
    </row>
    <row r="36" spans="1:40">
      <c r="A36" s="29"/>
      <c r="B36" s="57" t="s">
        <v>37</v>
      </c>
      <c r="C36" s="30"/>
      <c r="D36" s="30"/>
      <c r="E36" s="109">
        <f>+E35+E29++E32+E26+E23+E20+E17+E12+E7</f>
        <v>207000</v>
      </c>
      <c r="F36" s="30"/>
      <c r="G36" s="30"/>
      <c r="H36" s="109">
        <f>+H35+H32+H29+H26+H23+H20+H17+H12+H7</f>
        <v>278325</v>
      </c>
      <c r="I36" s="30"/>
      <c r="J36" s="30"/>
      <c r="K36" s="109">
        <f>+K35+K32+K29+K26+K23+K20+K17+K12+K7</f>
        <v>324475</v>
      </c>
      <c r="L36" s="30"/>
      <c r="M36" s="30"/>
      <c r="N36" s="109">
        <f>+N35+N32+N29+N26+N23+N20+N17+N12+N7</f>
        <v>364475</v>
      </c>
      <c r="O36" s="30"/>
      <c r="P36" s="30"/>
      <c r="Q36" s="109">
        <f>+Q35+Q32+Q29+Q26+Q23+Q20+Q17+Q12+Q7</f>
        <v>366350</v>
      </c>
      <c r="R36" s="30"/>
      <c r="S36" s="30"/>
      <c r="T36" s="109">
        <f>+T35+T32+T29+T26+T23+T20+T17+T12+T7</f>
        <v>364475</v>
      </c>
      <c r="U36" s="30"/>
      <c r="V36" s="30"/>
      <c r="W36" s="109">
        <f>+W35+W32+W29+W26+W23+W20+W17+W12+W7</f>
        <v>216125</v>
      </c>
      <c r="X36" s="30"/>
      <c r="Y36" s="30"/>
      <c r="Z36" s="109">
        <f>+Z35+Z32+Z29+Z26+Z23+Z20+Z17+Z12+Z7</f>
        <v>175250</v>
      </c>
      <c r="AA36" s="30"/>
      <c r="AB36" s="30"/>
      <c r="AC36" s="109">
        <f>+AC35+AC32+AC29+AC26+AC23+AC20+AC17+AC12+AC7</f>
        <v>222375</v>
      </c>
      <c r="AD36" s="30"/>
      <c r="AE36" s="30"/>
      <c r="AF36" s="109">
        <f>+AF35+AF32+AF29+AF26+AF23+AF20+AF17+AF12+AF7</f>
        <v>353850</v>
      </c>
      <c r="AG36" s="30"/>
      <c r="AH36" s="30"/>
      <c r="AI36" s="109">
        <f>+AI35+AI32+AI29+AI26+AI23+AI20+AI17+AI12+AI7</f>
        <v>310850</v>
      </c>
      <c r="AJ36" s="30"/>
      <c r="AK36" s="30"/>
      <c r="AL36" s="109">
        <f>+AL35+AL32+AL29+AL26+AL23+AL20+AL17+AL12+AL7</f>
        <v>220100</v>
      </c>
      <c r="AM36" s="409">
        <f t="shared" si="0"/>
        <v>3403650</v>
      </c>
      <c r="AN36" s="111">
        <f>AM36/$AM$55</f>
        <v>0.72805347593582892</v>
      </c>
    </row>
    <row r="37" spans="1:40">
      <c r="A37" s="30"/>
      <c r="B37" s="497" t="s">
        <v>728</v>
      </c>
      <c r="E37" s="54"/>
      <c r="F37" s="30"/>
      <c r="G37" s="30"/>
      <c r="H37" s="54"/>
      <c r="I37" s="30"/>
      <c r="J37" s="30"/>
      <c r="K37" s="54"/>
      <c r="L37" s="30"/>
      <c r="M37" s="30"/>
      <c r="N37" s="54"/>
      <c r="O37" s="30"/>
      <c r="P37" s="30"/>
      <c r="Q37" s="54"/>
      <c r="R37" s="30"/>
      <c r="S37" s="30"/>
      <c r="T37" s="54"/>
      <c r="U37" s="30"/>
      <c r="V37" s="30"/>
      <c r="W37" s="54"/>
      <c r="X37" s="30"/>
      <c r="Y37" s="30"/>
      <c r="Z37" s="54"/>
      <c r="AA37" s="30"/>
      <c r="AB37" s="30"/>
      <c r="AC37" s="54"/>
      <c r="AD37" s="30"/>
      <c r="AE37" s="30"/>
      <c r="AF37" s="54"/>
      <c r="AG37" s="30"/>
      <c r="AH37" s="30"/>
      <c r="AI37" s="54"/>
      <c r="AJ37" s="30"/>
      <c r="AK37" s="30"/>
      <c r="AL37" s="54"/>
      <c r="AM37" s="409">
        <f t="shared" si="0"/>
        <v>0</v>
      </c>
    </row>
    <row r="38" spans="1:40">
      <c r="B38" s="55" t="s">
        <v>1</v>
      </c>
      <c r="E38" s="41"/>
      <c r="H38" s="41"/>
      <c r="K38" s="41"/>
      <c r="N38" s="41"/>
      <c r="Q38" s="41"/>
      <c r="R38"/>
      <c r="S38"/>
      <c r="T38" s="41"/>
      <c r="U38"/>
      <c r="V38"/>
      <c r="W38" s="41"/>
      <c r="X38"/>
      <c r="Y38"/>
      <c r="Z38" s="41"/>
      <c r="AA38"/>
      <c r="AB38"/>
      <c r="AC38" s="41"/>
      <c r="AD38"/>
      <c r="AE38"/>
      <c r="AF38" s="41"/>
      <c r="AG38"/>
      <c r="AH38"/>
      <c r="AI38" s="41"/>
      <c r="AJ38"/>
      <c r="AK38"/>
      <c r="AL38" s="41"/>
      <c r="AM38" s="409">
        <f t="shared" si="0"/>
        <v>0</v>
      </c>
    </row>
    <row r="39" spans="1:40" ht="15">
      <c r="B39" s="38" t="s">
        <v>681</v>
      </c>
      <c r="E39" s="41"/>
      <c r="H39" s="41"/>
      <c r="K39" s="41"/>
      <c r="N39" s="41"/>
      <c r="Q39" s="41"/>
      <c r="R39"/>
      <c r="S39"/>
      <c r="T39" s="41"/>
      <c r="U39"/>
      <c r="V39"/>
      <c r="W39" s="41"/>
      <c r="X39"/>
      <c r="Y39"/>
      <c r="Z39" s="41"/>
      <c r="AA39"/>
      <c r="AB39"/>
      <c r="AC39" s="41"/>
      <c r="AD39"/>
      <c r="AE39"/>
      <c r="AF39" s="41"/>
      <c r="AG39"/>
      <c r="AH39"/>
      <c r="AI39" s="41"/>
      <c r="AJ39"/>
      <c r="AK39"/>
      <c r="AL39" s="41"/>
      <c r="AM39" s="409">
        <f t="shared" si="0"/>
        <v>0</v>
      </c>
    </row>
    <row r="40" spans="1:40">
      <c r="B40" t="s">
        <v>34</v>
      </c>
      <c r="C40">
        <f>5*4</f>
        <v>20</v>
      </c>
      <c r="D40">
        <v>375</v>
      </c>
      <c r="E40" s="41">
        <f>+D40*C40</f>
        <v>7500</v>
      </c>
      <c r="F40">
        <f>5*4</f>
        <v>20</v>
      </c>
      <c r="G40">
        <v>375</v>
      </c>
      <c r="H40" s="41">
        <f>+G40*F40</f>
        <v>7500</v>
      </c>
      <c r="I40">
        <f>5*4</f>
        <v>20</v>
      </c>
      <c r="J40">
        <v>375</v>
      </c>
      <c r="K40" s="41">
        <f>+J40*I40</f>
        <v>7500</v>
      </c>
      <c r="L40">
        <f>5*4</f>
        <v>20</v>
      </c>
      <c r="M40">
        <v>375</v>
      </c>
      <c r="N40" s="41">
        <f>+M40*L40</f>
        <v>7500</v>
      </c>
      <c r="O40">
        <f>5*4</f>
        <v>20</v>
      </c>
      <c r="P40">
        <v>375</v>
      </c>
      <c r="Q40" s="41">
        <f>+P40*O40</f>
        <v>7500</v>
      </c>
      <c r="R40">
        <f>5*4</f>
        <v>20</v>
      </c>
      <c r="S40">
        <v>375</v>
      </c>
      <c r="T40" s="41">
        <f>+S40*R40</f>
        <v>7500</v>
      </c>
      <c r="U40">
        <v>0</v>
      </c>
      <c r="V40">
        <v>375</v>
      </c>
      <c r="W40" s="41">
        <f>+V40*U40</f>
        <v>0</v>
      </c>
      <c r="X40"/>
      <c r="Y40">
        <v>375</v>
      </c>
      <c r="Z40" s="41">
        <f>+Y40*X40</f>
        <v>0</v>
      </c>
      <c r="AA40">
        <v>8</v>
      </c>
      <c r="AB40">
        <v>375</v>
      </c>
      <c r="AC40" s="41">
        <f>+AB40*AA40</f>
        <v>3000</v>
      </c>
      <c r="AD40">
        <f>5*4</f>
        <v>20</v>
      </c>
      <c r="AE40">
        <v>375</v>
      </c>
      <c r="AF40" s="41">
        <f>+AE40*AD40</f>
        <v>7500</v>
      </c>
      <c r="AG40">
        <f>2*4</f>
        <v>8</v>
      </c>
      <c r="AH40">
        <v>375</v>
      </c>
      <c r="AI40" s="41">
        <f>+AH40*AG40</f>
        <v>3000</v>
      </c>
      <c r="AJ40">
        <f>2*4</f>
        <v>8</v>
      </c>
      <c r="AK40">
        <v>375</v>
      </c>
      <c r="AL40" s="41">
        <f>+AK40*AJ40</f>
        <v>3000</v>
      </c>
      <c r="AM40" s="409">
        <f t="shared" si="0"/>
        <v>61500</v>
      </c>
    </row>
    <row r="41" spans="1:40">
      <c r="B41" t="s">
        <v>35</v>
      </c>
      <c r="E41" s="41"/>
      <c r="H41" s="41"/>
      <c r="K41" s="41"/>
      <c r="N41" s="41"/>
      <c r="Q41" s="41"/>
      <c r="R41"/>
      <c r="S41"/>
      <c r="T41" s="41"/>
      <c r="U41"/>
      <c r="V41"/>
      <c r="W41" s="41"/>
      <c r="X41"/>
      <c r="Y41"/>
      <c r="Z41" s="41"/>
      <c r="AA41"/>
      <c r="AB41"/>
      <c r="AC41" s="41"/>
      <c r="AD41">
        <v>0</v>
      </c>
      <c r="AE41">
        <v>0</v>
      </c>
      <c r="AF41" s="41">
        <f>+AE41*AD41</f>
        <v>0</v>
      </c>
      <c r="AG41">
        <v>0</v>
      </c>
      <c r="AH41">
        <v>0</v>
      </c>
      <c r="AI41" s="41">
        <f>+AH41*AG41</f>
        <v>0</v>
      </c>
      <c r="AJ41">
        <v>0</v>
      </c>
      <c r="AK41">
        <v>0</v>
      </c>
      <c r="AL41" s="41">
        <f>+AK41*AJ41</f>
        <v>0</v>
      </c>
      <c r="AM41" s="409">
        <f t="shared" si="0"/>
        <v>0</v>
      </c>
    </row>
    <row r="42" spans="1:40">
      <c r="B42" s="31" t="s">
        <v>36</v>
      </c>
      <c r="E42" s="271">
        <f>SUM(E40:E41)</f>
        <v>7500</v>
      </c>
      <c r="F42" s="271"/>
      <c r="G42" s="271"/>
      <c r="H42" s="271">
        <f>SUM(H40:H41)</f>
        <v>7500</v>
      </c>
      <c r="I42" s="271"/>
      <c r="J42" s="271"/>
      <c r="K42" s="271">
        <f>SUM(K40:K41)</f>
        <v>7500</v>
      </c>
      <c r="L42" s="271"/>
      <c r="M42" s="271"/>
      <c r="N42" s="271">
        <f>SUM(N40:N41)</f>
        <v>7500</v>
      </c>
      <c r="O42" s="271"/>
      <c r="P42" s="271"/>
      <c r="Q42" s="271">
        <f>SUM(Q40:Q41)</f>
        <v>7500</v>
      </c>
      <c r="R42" s="271"/>
      <c r="S42" s="271"/>
      <c r="T42" s="271">
        <f>SUM(T40:T41)</f>
        <v>7500</v>
      </c>
      <c r="U42" s="271"/>
      <c r="V42" s="271"/>
      <c r="W42" s="271">
        <f>SUM(W40:W41)</f>
        <v>0</v>
      </c>
      <c r="X42" s="271"/>
      <c r="Y42" s="271"/>
      <c r="Z42" s="271">
        <f>SUM(Z40:Z41)</f>
        <v>0</v>
      </c>
      <c r="AA42" s="271"/>
      <c r="AB42" s="271"/>
      <c r="AC42" s="271">
        <f>SUM(AC40:AC41)</f>
        <v>3000</v>
      </c>
      <c r="AD42" s="271"/>
      <c r="AE42" s="271"/>
      <c r="AF42" s="271">
        <f>SUM(AF40:AF41)</f>
        <v>7500</v>
      </c>
      <c r="AG42" s="271"/>
      <c r="AH42" s="271"/>
      <c r="AI42" s="271">
        <f>SUM(AI40:AI41)</f>
        <v>3000</v>
      </c>
      <c r="AJ42" s="271"/>
      <c r="AK42" s="271"/>
      <c r="AL42" s="271">
        <f>SUM(AL40:AL41)</f>
        <v>3000</v>
      </c>
      <c r="AM42" s="409">
        <f t="shared" si="0"/>
        <v>61500</v>
      </c>
    </row>
    <row r="43" spans="1:40" ht="15">
      <c r="A43" s="29"/>
      <c r="B43" s="38" t="s">
        <v>4</v>
      </c>
      <c r="C43" s="35"/>
      <c r="D43" s="35"/>
      <c r="E43" s="36"/>
      <c r="F43" s="35"/>
      <c r="G43" s="35"/>
      <c r="H43" s="36"/>
      <c r="I43" s="35"/>
      <c r="J43" s="35"/>
      <c r="K43" s="36"/>
      <c r="L43" s="35"/>
      <c r="M43" s="35"/>
      <c r="N43" s="36"/>
      <c r="O43" s="35"/>
      <c r="P43" s="35"/>
      <c r="Q43" s="36"/>
      <c r="R43" s="35"/>
      <c r="S43" s="35"/>
      <c r="T43" s="36"/>
      <c r="U43" s="35"/>
      <c r="V43" s="35"/>
      <c r="W43" s="36"/>
      <c r="X43" s="35"/>
      <c r="Y43" s="35"/>
      <c r="Z43" s="36"/>
      <c r="AA43" s="35"/>
      <c r="AB43" s="35"/>
      <c r="AC43" s="36"/>
      <c r="AD43" s="35"/>
      <c r="AE43" s="35"/>
      <c r="AF43" s="36"/>
      <c r="AG43" s="35"/>
      <c r="AH43" s="35"/>
      <c r="AI43" s="36"/>
      <c r="AJ43" s="35"/>
      <c r="AK43" s="35"/>
      <c r="AL43" s="36"/>
      <c r="AM43" s="409"/>
    </row>
    <row r="44" spans="1:40">
      <c r="A44" s="29"/>
      <c r="B44" s="41" t="s">
        <v>34</v>
      </c>
      <c r="C44" s="56">
        <v>0</v>
      </c>
      <c r="D44" s="52">
        <v>375</v>
      </c>
      <c r="E44" s="43">
        <f>+D44*C44</f>
        <v>0</v>
      </c>
      <c r="F44" s="56">
        <v>20</v>
      </c>
      <c r="G44">
        <v>375</v>
      </c>
      <c r="H44" s="43">
        <f>+G44*F44</f>
        <v>7500</v>
      </c>
      <c r="I44" s="56">
        <f>10*4</f>
        <v>40</v>
      </c>
      <c r="J44">
        <v>375</v>
      </c>
      <c r="K44" s="43">
        <f>+J44*I44</f>
        <v>15000</v>
      </c>
      <c r="L44" s="56">
        <f>10*4</f>
        <v>40</v>
      </c>
      <c r="M44">
        <v>375</v>
      </c>
      <c r="N44" s="43">
        <f>+M44*L44</f>
        <v>15000</v>
      </c>
      <c r="O44" s="56">
        <f>10*4</f>
        <v>40</v>
      </c>
      <c r="P44">
        <v>375</v>
      </c>
      <c r="Q44" s="43">
        <f>+P44*O44</f>
        <v>15000</v>
      </c>
      <c r="R44" s="56">
        <f>10*4</f>
        <v>40</v>
      </c>
      <c r="S44">
        <v>375</v>
      </c>
      <c r="T44" s="43">
        <f>+S44*R44</f>
        <v>15000</v>
      </c>
      <c r="U44" s="56">
        <f>10*4</f>
        <v>40</v>
      </c>
      <c r="V44">
        <v>375</v>
      </c>
      <c r="W44" s="43">
        <f>+V44*U44</f>
        <v>15000</v>
      </c>
      <c r="X44" s="56">
        <f>5*4</f>
        <v>20</v>
      </c>
      <c r="Y44">
        <v>375</v>
      </c>
      <c r="Z44" s="43">
        <f>+Y44*X44</f>
        <v>7500</v>
      </c>
      <c r="AA44" s="56">
        <v>20</v>
      </c>
      <c r="AB44">
        <v>375</v>
      </c>
      <c r="AC44" s="43">
        <f>+AB44*AA44</f>
        <v>7500</v>
      </c>
      <c r="AD44" s="56">
        <f>10*4</f>
        <v>40</v>
      </c>
      <c r="AE44">
        <v>375</v>
      </c>
      <c r="AF44" s="43">
        <f>+AE44*AD44</f>
        <v>15000</v>
      </c>
      <c r="AG44" s="56">
        <f>5*4</f>
        <v>20</v>
      </c>
      <c r="AH44">
        <v>375</v>
      </c>
      <c r="AI44" s="43">
        <f>+AH44*AG44</f>
        <v>7500</v>
      </c>
      <c r="AJ44" s="56">
        <f>5*4</f>
        <v>20</v>
      </c>
      <c r="AK44">
        <v>375</v>
      </c>
      <c r="AL44" s="43">
        <f>+AK44*AJ44</f>
        <v>7500</v>
      </c>
      <c r="AM44" s="409">
        <f t="shared" si="0"/>
        <v>127500</v>
      </c>
      <c r="AN44" s="111">
        <f>AM44/$AM$55</f>
        <v>2.7272727272727271E-2</v>
      </c>
    </row>
    <row r="45" spans="1:40">
      <c r="A45" s="29"/>
      <c r="B45" t="s">
        <v>687</v>
      </c>
      <c r="C45" s="56">
        <f>12*8</f>
        <v>96</v>
      </c>
      <c r="D45" s="52">
        <v>125</v>
      </c>
      <c r="E45" s="43">
        <f>+D45*C45</f>
        <v>12000</v>
      </c>
      <c r="F45" s="56">
        <f>12*16</f>
        <v>192</v>
      </c>
      <c r="G45">
        <v>125</v>
      </c>
      <c r="H45" s="43">
        <f>+G45*F45</f>
        <v>24000</v>
      </c>
      <c r="I45" s="56">
        <f>12*24</f>
        <v>288</v>
      </c>
      <c r="J45">
        <v>125</v>
      </c>
      <c r="K45" s="43">
        <f>+J45*I45</f>
        <v>36000</v>
      </c>
      <c r="L45" s="56">
        <f>12*24</f>
        <v>288</v>
      </c>
      <c r="M45">
        <v>125</v>
      </c>
      <c r="N45" s="43">
        <f>+M45*L45</f>
        <v>36000</v>
      </c>
      <c r="O45" s="56">
        <f>12*24</f>
        <v>288</v>
      </c>
      <c r="P45">
        <v>125</v>
      </c>
      <c r="Q45" s="43">
        <f>+P45*O45</f>
        <v>36000</v>
      </c>
      <c r="R45" s="56">
        <f>12*24</f>
        <v>288</v>
      </c>
      <c r="S45">
        <v>125</v>
      </c>
      <c r="T45" s="43">
        <f>+S45*R45</f>
        <v>36000</v>
      </c>
      <c r="U45" s="56">
        <f>12*24</f>
        <v>288</v>
      </c>
      <c r="V45">
        <v>125</v>
      </c>
      <c r="W45" s="43">
        <f>+V45*U45</f>
        <v>36000</v>
      </c>
      <c r="X45" s="56">
        <f>12*24</f>
        <v>288</v>
      </c>
      <c r="Y45">
        <v>125</v>
      </c>
      <c r="Z45" s="43">
        <f>+Y45*X45</f>
        <v>36000</v>
      </c>
      <c r="AA45" s="56">
        <f>12*24</f>
        <v>288</v>
      </c>
      <c r="AB45">
        <v>125</v>
      </c>
      <c r="AC45" s="43">
        <f>+AB45*AA45</f>
        <v>36000</v>
      </c>
      <c r="AD45" s="56">
        <f>12*24</f>
        <v>288</v>
      </c>
      <c r="AE45">
        <v>125</v>
      </c>
      <c r="AF45" s="43">
        <f>+AE45*AD45</f>
        <v>36000</v>
      </c>
      <c r="AG45" s="56">
        <f>12*24</f>
        <v>288</v>
      </c>
      <c r="AH45">
        <v>125</v>
      </c>
      <c r="AI45" s="43">
        <f>+AH45*AG45</f>
        <v>36000</v>
      </c>
      <c r="AJ45" s="56">
        <f>12*24</f>
        <v>288</v>
      </c>
      <c r="AK45">
        <v>125</v>
      </c>
      <c r="AL45" s="43">
        <f>+AK45*AJ45</f>
        <v>36000</v>
      </c>
      <c r="AM45" s="409">
        <f t="shared" si="0"/>
        <v>396000</v>
      </c>
    </row>
    <row r="46" spans="1:40">
      <c r="A46" s="29"/>
      <c r="B46" t="s">
        <v>688</v>
      </c>
      <c r="C46" s="56">
        <f>12*8</f>
        <v>96</v>
      </c>
      <c r="D46" s="52">
        <v>150</v>
      </c>
      <c r="E46" s="43">
        <f>+D46*C46</f>
        <v>14400</v>
      </c>
      <c r="F46" s="56">
        <f>12*8</f>
        <v>96</v>
      </c>
      <c r="G46">
        <v>150</v>
      </c>
      <c r="H46" s="43">
        <f>+G46*F46</f>
        <v>14400</v>
      </c>
      <c r="I46" s="56">
        <f>12*16</f>
        <v>192</v>
      </c>
      <c r="J46">
        <v>150</v>
      </c>
      <c r="K46" s="43">
        <f>+J46*I46</f>
        <v>28800</v>
      </c>
      <c r="L46" s="56">
        <f>12*16</f>
        <v>192</v>
      </c>
      <c r="M46">
        <v>150</v>
      </c>
      <c r="N46" s="43">
        <f>+M46*L46</f>
        <v>28800</v>
      </c>
      <c r="O46" s="56">
        <f>12*24</f>
        <v>288</v>
      </c>
      <c r="P46">
        <v>150</v>
      </c>
      <c r="Q46" s="43">
        <f>+P46*O46</f>
        <v>43200</v>
      </c>
      <c r="R46" s="56">
        <f>12*24</f>
        <v>288</v>
      </c>
      <c r="S46">
        <v>150</v>
      </c>
      <c r="T46" s="43">
        <f>+S46*R46</f>
        <v>43200</v>
      </c>
      <c r="U46" s="56">
        <f>12*16</f>
        <v>192</v>
      </c>
      <c r="V46">
        <v>150</v>
      </c>
      <c r="W46" s="43">
        <f>+V46*U46</f>
        <v>28800</v>
      </c>
      <c r="X46" s="56">
        <f>12*8</f>
        <v>96</v>
      </c>
      <c r="Y46">
        <v>150</v>
      </c>
      <c r="Z46" s="43">
        <f>+Y46*X46</f>
        <v>14400</v>
      </c>
      <c r="AA46" s="56">
        <f>12*16</f>
        <v>192</v>
      </c>
      <c r="AB46">
        <v>150</v>
      </c>
      <c r="AC46" s="43">
        <f>+AB46*AA46</f>
        <v>28800</v>
      </c>
      <c r="AD46" s="56">
        <f>12*8</f>
        <v>96</v>
      </c>
      <c r="AE46">
        <v>150</v>
      </c>
      <c r="AF46" s="43">
        <f>+AE46*AD46</f>
        <v>14400</v>
      </c>
      <c r="AG46" s="56">
        <f>12*8</f>
        <v>96</v>
      </c>
      <c r="AH46">
        <v>150</v>
      </c>
      <c r="AI46" s="43">
        <f>+AH46*AG46</f>
        <v>14400</v>
      </c>
      <c r="AJ46" s="56">
        <f>12*8</f>
        <v>96</v>
      </c>
      <c r="AK46">
        <v>150</v>
      </c>
      <c r="AL46" s="43">
        <f>+AK46*AJ46</f>
        <v>14400</v>
      </c>
      <c r="AM46" s="409">
        <f t="shared" si="0"/>
        <v>288000</v>
      </c>
    </row>
    <row r="47" spans="1:40">
      <c r="B47" s="31" t="s">
        <v>36</v>
      </c>
      <c r="C47" s="46"/>
      <c r="D47" s="47"/>
      <c r="E47" s="48">
        <f>SUM(E44:E46)</f>
        <v>26400</v>
      </c>
      <c r="F47" s="48"/>
      <c r="G47" s="48"/>
      <c r="H47" s="48">
        <f>SUM(H44:H46)</f>
        <v>45900</v>
      </c>
      <c r="I47" s="48"/>
      <c r="J47" s="48"/>
      <c r="K47" s="48">
        <f>SUM(K44:K46)</f>
        <v>79800</v>
      </c>
      <c r="L47" s="48"/>
      <c r="M47" s="48"/>
      <c r="N47" s="48">
        <f>SUM(N44:N46)</f>
        <v>79800</v>
      </c>
      <c r="O47" s="48"/>
      <c r="P47" s="48"/>
      <c r="Q47" s="48">
        <f>SUM(Q44:Q46)</f>
        <v>94200</v>
      </c>
      <c r="R47" s="48"/>
      <c r="S47" s="48"/>
      <c r="T47" s="48">
        <f>SUM(T44:T46)</f>
        <v>94200</v>
      </c>
      <c r="U47" s="48"/>
      <c r="V47" s="48"/>
      <c r="W47" s="48">
        <f>SUM(W44:W46)</f>
        <v>79800</v>
      </c>
      <c r="X47" s="48"/>
      <c r="Y47" s="48"/>
      <c r="Z47" s="48">
        <f>SUM(Z44:Z46)</f>
        <v>57900</v>
      </c>
      <c r="AA47" s="48"/>
      <c r="AB47" s="48"/>
      <c r="AC47" s="48">
        <f>SUM(AC44:AC46)</f>
        <v>72300</v>
      </c>
      <c r="AD47" s="48"/>
      <c r="AE47" s="48"/>
      <c r="AF47" s="48">
        <f>SUM(AF44:AF46)</f>
        <v>65400</v>
      </c>
      <c r="AG47" s="48"/>
      <c r="AH47" s="48"/>
      <c r="AI47" s="48">
        <f>SUM(AI44:AI46)</f>
        <v>57900</v>
      </c>
      <c r="AJ47" s="48"/>
      <c r="AK47" s="48"/>
      <c r="AL47" s="48">
        <f>SUM(AL44:AL46)</f>
        <v>57900</v>
      </c>
      <c r="AM47" s="409">
        <f t="shared" si="0"/>
        <v>811500</v>
      </c>
      <c r="AN47" s="111">
        <f>AM47/$AM$55</f>
        <v>0.17358288770053476</v>
      </c>
    </row>
    <row r="48" spans="1:40" ht="15">
      <c r="A48" s="29"/>
      <c r="B48" s="38" t="s">
        <v>685</v>
      </c>
      <c r="C48" s="56"/>
      <c r="D48" s="52"/>
      <c r="E48" s="43"/>
      <c r="F48" s="56"/>
      <c r="H48" s="43"/>
      <c r="I48" s="56"/>
      <c r="K48" s="43"/>
      <c r="L48" s="56"/>
      <c r="N48" s="43"/>
      <c r="O48" s="56"/>
      <c r="Q48" s="43"/>
      <c r="R48" s="56"/>
      <c r="S48"/>
      <c r="T48" s="43"/>
      <c r="U48" s="56"/>
      <c r="V48"/>
      <c r="W48" s="43"/>
      <c r="X48" s="56"/>
      <c r="Y48"/>
      <c r="Z48" s="43"/>
      <c r="AA48" s="56"/>
      <c r="AB48"/>
      <c r="AC48" s="43"/>
      <c r="AD48" s="56"/>
      <c r="AE48"/>
      <c r="AF48" s="43"/>
      <c r="AG48" s="56"/>
      <c r="AH48"/>
      <c r="AI48" s="43"/>
      <c r="AJ48" s="56"/>
      <c r="AK48"/>
      <c r="AL48" s="43"/>
      <c r="AM48" s="409">
        <f t="shared" si="0"/>
        <v>0</v>
      </c>
    </row>
    <row r="49" spans="1:40">
      <c r="A49" s="29"/>
      <c r="B49" t="s">
        <v>126</v>
      </c>
      <c r="C49" s="56">
        <f>12*8</f>
        <v>96</v>
      </c>
      <c r="D49" s="52">
        <v>250</v>
      </c>
      <c r="E49" s="43">
        <f>+C49*D49</f>
        <v>24000</v>
      </c>
      <c r="F49" s="56">
        <f>12*16</f>
        <v>192</v>
      </c>
      <c r="G49">
        <v>250</v>
      </c>
      <c r="H49" s="43">
        <f>+G49*F49</f>
        <v>48000</v>
      </c>
      <c r="I49" s="56">
        <f>12*16</f>
        <v>192</v>
      </c>
      <c r="J49">
        <v>250</v>
      </c>
      <c r="K49" s="43">
        <f>+J49*I49</f>
        <v>48000</v>
      </c>
      <c r="L49" s="56">
        <f>12*16</f>
        <v>192</v>
      </c>
      <c r="M49">
        <v>250</v>
      </c>
      <c r="N49" s="43">
        <f>+M49*L49</f>
        <v>48000</v>
      </c>
      <c r="O49" s="56">
        <f>12*16</f>
        <v>192</v>
      </c>
      <c r="P49">
        <v>250</v>
      </c>
      <c r="Q49" s="43">
        <f>+P49*O49</f>
        <v>48000</v>
      </c>
      <c r="R49" s="56">
        <f>12*16</f>
        <v>192</v>
      </c>
      <c r="S49">
        <v>250</v>
      </c>
      <c r="T49" s="43">
        <f>+S49*R49</f>
        <v>48000</v>
      </c>
      <c r="U49" s="56">
        <f>12*16</f>
        <v>192</v>
      </c>
      <c r="V49">
        <v>250</v>
      </c>
      <c r="W49" s="43">
        <f>+V49*U49</f>
        <v>48000</v>
      </c>
      <c r="X49" s="56">
        <f>12*16</f>
        <v>192</v>
      </c>
      <c r="Y49">
        <v>250</v>
      </c>
      <c r="Z49" s="43">
        <f>+Y49*X49</f>
        <v>48000</v>
      </c>
      <c r="AA49" s="56">
        <f>12*16</f>
        <v>192</v>
      </c>
      <c r="AB49">
        <v>250</v>
      </c>
      <c r="AC49" s="43">
        <f>+AB49*AA49</f>
        <v>48000</v>
      </c>
      <c r="AD49" s="56">
        <f>12*16</f>
        <v>192</v>
      </c>
      <c r="AE49">
        <v>250</v>
      </c>
      <c r="AF49" s="43">
        <f>+AE49*AD49</f>
        <v>48000</v>
      </c>
      <c r="AG49" s="56">
        <f>12*16</f>
        <v>192</v>
      </c>
      <c r="AH49">
        <v>250</v>
      </c>
      <c r="AI49" s="43">
        <f>+AH49*AG49</f>
        <v>48000</v>
      </c>
      <c r="AJ49" s="56">
        <f>12*16</f>
        <v>192</v>
      </c>
      <c r="AK49">
        <v>250</v>
      </c>
      <c r="AL49" s="43">
        <f>+AK49*AJ49</f>
        <v>48000</v>
      </c>
      <c r="AM49" s="409">
        <f t="shared" si="0"/>
        <v>552000</v>
      </c>
    </row>
    <row r="50" spans="1:40">
      <c r="A50" s="29"/>
      <c r="B50" s="31" t="s">
        <v>36</v>
      </c>
      <c r="C50" s="56"/>
      <c r="D50" s="52"/>
      <c r="E50" s="48">
        <f>SUM(E49:E49)</f>
        <v>24000</v>
      </c>
      <c r="F50" s="48"/>
      <c r="G50" s="48"/>
      <c r="H50" s="48">
        <f>SUM(H49:H49)</f>
        <v>48000</v>
      </c>
      <c r="I50" s="48"/>
      <c r="J50" s="48"/>
      <c r="K50" s="48">
        <f>SUM(K49:K49)</f>
        <v>48000</v>
      </c>
      <c r="L50" s="48"/>
      <c r="M50" s="48"/>
      <c r="N50" s="48">
        <f>SUM(N49:N49)</f>
        <v>48000</v>
      </c>
      <c r="O50" s="48"/>
      <c r="P50" s="48"/>
      <c r="Q50" s="48">
        <f>SUM(Q49:Q49)</f>
        <v>48000</v>
      </c>
      <c r="R50" s="48"/>
      <c r="S50" s="48"/>
      <c r="T50" s="48">
        <f>SUM(T49:T49)</f>
        <v>48000</v>
      </c>
      <c r="U50" s="48"/>
      <c r="V50" s="48"/>
      <c r="W50" s="48">
        <f>SUM(W49:W49)</f>
        <v>48000</v>
      </c>
      <c r="X50" s="48"/>
      <c r="Y50" s="48"/>
      <c r="Z50" s="48">
        <f>SUM(Z49:Z49)</f>
        <v>48000</v>
      </c>
      <c r="AA50" s="48"/>
      <c r="AB50" s="48"/>
      <c r="AC50" s="48">
        <f>SUM(AC49:AC49)</f>
        <v>48000</v>
      </c>
      <c r="AD50" s="48"/>
      <c r="AE50" s="48"/>
      <c r="AF50" s="48">
        <f>SUM(AF49:AF49)</f>
        <v>48000</v>
      </c>
      <c r="AG50" s="48"/>
      <c r="AH50" s="48"/>
      <c r="AI50" s="48">
        <f>SUM(AI49:AI49)</f>
        <v>48000</v>
      </c>
      <c r="AJ50" s="48"/>
      <c r="AK50" s="48"/>
      <c r="AL50" s="48">
        <f>SUM(AL49:AL49)</f>
        <v>48000</v>
      </c>
      <c r="AM50" s="409">
        <f t="shared" si="0"/>
        <v>552000</v>
      </c>
    </row>
    <row r="51" spans="1:40">
      <c r="A51" s="29"/>
      <c r="B51" s="57" t="s">
        <v>38</v>
      </c>
      <c r="C51" s="30"/>
      <c r="D51" s="30"/>
      <c r="E51" s="109">
        <f>+E50+E42+E47</f>
        <v>57900</v>
      </c>
      <c r="F51" s="30"/>
      <c r="G51" s="30"/>
      <c r="H51" s="109">
        <f>+H50+H47+H42</f>
        <v>101400</v>
      </c>
      <c r="I51" s="30"/>
      <c r="J51" s="30"/>
      <c r="K51" s="109">
        <f>+K50+K47+K42</f>
        <v>135300</v>
      </c>
      <c r="L51" s="30"/>
      <c r="M51" s="30"/>
      <c r="N51" s="109">
        <f>+N50+N47+N42</f>
        <v>135300</v>
      </c>
      <c r="O51" s="30"/>
      <c r="P51" s="30"/>
      <c r="Q51" s="109">
        <f>+Q50+Q47+Q42</f>
        <v>149700</v>
      </c>
      <c r="R51" s="30"/>
      <c r="S51" s="30"/>
      <c r="T51" s="109">
        <f>+T50+T47+T42</f>
        <v>149700</v>
      </c>
      <c r="U51" s="30"/>
      <c r="V51" s="30"/>
      <c r="W51" s="109">
        <f>+W50+W47+W42</f>
        <v>127800</v>
      </c>
      <c r="X51" s="30"/>
      <c r="Y51" s="30"/>
      <c r="Z51" s="109">
        <f>+Z50+Z47+Z42</f>
        <v>105900</v>
      </c>
      <c r="AA51" s="30"/>
      <c r="AB51" s="30"/>
      <c r="AC51" s="109">
        <f>+AC50+AC47+AC42</f>
        <v>123300</v>
      </c>
      <c r="AD51" s="30"/>
      <c r="AE51" s="30"/>
      <c r="AF51" s="109">
        <f>+AF50+AF47+AF42</f>
        <v>120900</v>
      </c>
      <c r="AG51" s="30"/>
      <c r="AH51" s="30"/>
      <c r="AI51" s="109">
        <f>+AI50+AI47+AI42</f>
        <v>108900</v>
      </c>
      <c r="AJ51" s="30"/>
      <c r="AK51" s="30"/>
      <c r="AL51" s="109">
        <f>+AL50+AL47+AL42</f>
        <v>108900</v>
      </c>
      <c r="AM51" s="409">
        <f>+AI51+AF51+AC51+Z51+W51+T51+Q51+N51+K51+H51+E51+AL51</f>
        <v>1425000</v>
      </c>
      <c r="AN51" s="111">
        <f>AM51/$AM$55</f>
        <v>0.30481283422459893</v>
      </c>
    </row>
    <row r="52" spans="1:40">
      <c r="A52" s="29"/>
      <c r="B52" s="57" t="s">
        <v>153</v>
      </c>
      <c r="C52" s="30"/>
      <c r="D52" s="30"/>
      <c r="E52" s="58"/>
      <c r="F52" s="30"/>
      <c r="G52" s="30"/>
      <c r="H52" s="58"/>
      <c r="I52" s="30"/>
      <c r="J52" s="30"/>
      <c r="K52" s="58"/>
      <c r="L52" s="30"/>
      <c r="M52" s="30"/>
      <c r="N52" s="58"/>
      <c r="O52" s="30"/>
      <c r="P52" s="30"/>
      <c r="Q52" s="58"/>
      <c r="R52" s="30"/>
      <c r="S52" s="30"/>
      <c r="T52" s="58"/>
      <c r="U52" s="30"/>
      <c r="V52" s="30"/>
      <c r="W52" s="58"/>
      <c r="X52" s="30"/>
      <c r="Y52" s="30"/>
      <c r="Z52" s="58"/>
      <c r="AA52" s="30"/>
      <c r="AB52" s="30"/>
      <c r="AC52" s="58"/>
      <c r="AD52" s="30"/>
      <c r="AE52" s="30"/>
      <c r="AF52" s="58"/>
      <c r="AG52" s="30"/>
      <c r="AH52" s="30"/>
      <c r="AI52" s="58"/>
      <c r="AJ52" s="30"/>
      <c r="AK52" s="30"/>
      <c r="AL52" s="58"/>
      <c r="AM52" s="409">
        <f>+AI52+AF52+AC52+Z52+W52+T52+Q52+N52+K52+H52+E52+AL52</f>
        <v>0</v>
      </c>
    </row>
    <row r="53" spans="1:40">
      <c r="A53" s="29"/>
      <c r="B53" s="445" t="s">
        <v>691</v>
      </c>
      <c r="C53" s="30">
        <v>0</v>
      </c>
      <c r="D53" s="63">
        <v>5000</v>
      </c>
      <c r="E53" s="58">
        <f>+D53*C53</f>
        <v>0</v>
      </c>
      <c r="F53" s="63">
        <v>1</v>
      </c>
      <c r="G53" s="63">
        <v>5000</v>
      </c>
      <c r="H53" s="446">
        <f>+G53*F53</f>
        <v>5000</v>
      </c>
      <c r="I53" s="63">
        <v>1</v>
      </c>
      <c r="J53" s="63">
        <v>5000</v>
      </c>
      <c r="K53" s="446">
        <f>+J53*I53</f>
        <v>5000</v>
      </c>
      <c r="L53" s="63">
        <v>1</v>
      </c>
      <c r="M53" s="63">
        <v>5000</v>
      </c>
      <c r="N53" s="446">
        <f>+M53*L53</f>
        <v>5000</v>
      </c>
      <c r="O53" s="63">
        <v>1</v>
      </c>
      <c r="P53" s="63">
        <v>5000</v>
      </c>
      <c r="Q53" s="446">
        <f>+P53*O53</f>
        <v>5000</v>
      </c>
      <c r="R53" s="63">
        <v>1</v>
      </c>
      <c r="S53" s="63">
        <v>5000</v>
      </c>
      <c r="T53" s="446">
        <f>+S53*R53</f>
        <v>5000</v>
      </c>
      <c r="U53" s="63">
        <v>0</v>
      </c>
      <c r="V53" s="63">
        <v>5000</v>
      </c>
      <c r="W53" s="446">
        <f>+V53*U53</f>
        <v>0</v>
      </c>
      <c r="X53" s="63">
        <v>0</v>
      </c>
      <c r="Y53" s="63">
        <v>5000</v>
      </c>
      <c r="Z53" s="446">
        <f>+Y53*X53</f>
        <v>0</v>
      </c>
      <c r="AA53" s="63">
        <v>1</v>
      </c>
      <c r="AB53" s="63">
        <v>5000</v>
      </c>
      <c r="AC53" s="446">
        <f>+AB53*AA53</f>
        <v>5000</v>
      </c>
      <c r="AD53" s="63">
        <v>1</v>
      </c>
      <c r="AE53" s="63">
        <v>5000</v>
      </c>
      <c r="AF53" s="446">
        <f>+AE53*AD53</f>
        <v>5000</v>
      </c>
      <c r="AG53" s="63">
        <v>1</v>
      </c>
      <c r="AH53" s="63">
        <v>5000</v>
      </c>
      <c r="AI53" s="446">
        <f>+AH53*AG53</f>
        <v>5000</v>
      </c>
      <c r="AJ53" s="63">
        <v>1</v>
      </c>
      <c r="AK53" s="63">
        <v>5000</v>
      </c>
      <c r="AL53" s="446">
        <f>+AK53*AJ53</f>
        <v>5000</v>
      </c>
      <c r="AM53" s="409">
        <f>+AI53+AF53+AC53+Z53+W53+T53+Q53+N53+K53+H53+E53+AL53</f>
        <v>45000</v>
      </c>
    </row>
    <row r="54" spans="1:40">
      <c r="A54" s="29"/>
      <c r="B54" s="31" t="s">
        <v>36</v>
      </c>
      <c r="C54" s="30"/>
      <c r="D54" s="63"/>
      <c r="E54" s="58"/>
      <c r="F54" s="63"/>
      <c r="G54" s="63"/>
      <c r="H54" s="58">
        <f>SUM(+H53)</f>
        <v>5000</v>
      </c>
      <c r="I54" s="63"/>
      <c r="J54" s="63"/>
      <c r="K54" s="58">
        <f>SUM(+K53)</f>
        <v>5000</v>
      </c>
      <c r="L54" s="63"/>
      <c r="M54" s="63"/>
      <c r="N54" s="58">
        <f>SUM(+N53)</f>
        <v>5000</v>
      </c>
      <c r="O54" s="63"/>
      <c r="P54" s="63"/>
      <c r="Q54" s="58">
        <f>SUM(+Q53)</f>
        <v>5000</v>
      </c>
      <c r="R54" s="63"/>
      <c r="S54" s="63"/>
      <c r="T54" s="58">
        <f>SUM(+T53)</f>
        <v>5000</v>
      </c>
      <c r="U54" s="63"/>
      <c r="V54" s="63"/>
      <c r="W54" s="58">
        <f>SUM(+W53)</f>
        <v>0</v>
      </c>
      <c r="X54" s="63"/>
      <c r="Y54" s="63"/>
      <c r="Z54" s="58">
        <f>SUM(+Z53)</f>
        <v>0</v>
      </c>
      <c r="AA54" s="63"/>
      <c r="AB54" s="63"/>
      <c r="AC54" s="58">
        <f>SUM(+AC53)</f>
        <v>5000</v>
      </c>
      <c r="AD54" s="63"/>
      <c r="AE54" s="63"/>
      <c r="AF54" s="58">
        <f>SUM(+AF53)</f>
        <v>5000</v>
      </c>
      <c r="AG54" s="63"/>
      <c r="AH54" s="63"/>
      <c r="AI54" s="58">
        <f>SUM(+AI53)</f>
        <v>5000</v>
      </c>
      <c r="AJ54" s="63"/>
      <c r="AK54" s="63"/>
      <c r="AL54" s="58">
        <f>SUM(+AL53)</f>
        <v>5000</v>
      </c>
      <c r="AM54" s="409">
        <f>+AI54+AF54+AC54+Z54+W54+T54+Q54+N54+K54+H54+E54+AL54</f>
        <v>45000</v>
      </c>
    </row>
    <row r="55" spans="1:40">
      <c r="A55" s="29"/>
      <c r="B55" s="57" t="s">
        <v>39</v>
      </c>
      <c r="C55" s="30"/>
      <c r="D55" s="30"/>
      <c r="E55" s="58">
        <f>325000</f>
        <v>325000</v>
      </c>
      <c r="F55" s="58"/>
      <c r="G55" s="58"/>
      <c r="H55" s="58">
        <v>350000</v>
      </c>
      <c r="I55" s="58"/>
      <c r="J55" s="58"/>
      <c r="K55" s="58">
        <v>400000</v>
      </c>
      <c r="L55" s="58"/>
      <c r="M55" s="58"/>
      <c r="N55" s="58">
        <v>475000</v>
      </c>
      <c r="O55" s="58"/>
      <c r="P55" s="58"/>
      <c r="Q55" s="58">
        <v>500000</v>
      </c>
      <c r="R55" s="58"/>
      <c r="S55" s="58"/>
      <c r="T55" s="58">
        <v>500000</v>
      </c>
      <c r="U55" s="58"/>
      <c r="V55" s="58"/>
      <c r="W55" s="58">
        <v>425000</v>
      </c>
      <c r="X55" s="58"/>
      <c r="Y55" s="58"/>
      <c r="Z55" s="58">
        <v>400000</v>
      </c>
      <c r="AA55" s="58"/>
      <c r="AB55" s="58"/>
      <c r="AC55" s="58">
        <v>300000</v>
      </c>
      <c r="AD55" s="58"/>
      <c r="AE55" s="58"/>
      <c r="AF55" s="58">
        <v>325000</v>
      </c>
      <c r="AG55" s="58"/>
      <c r="AH55" s="58"/>
      <c r="AI55" s="58">
        <v>325000</v>
      </c>
      <c r="AJ55" s="58"/>
      <c r="AK55" s="58"/>
      <c r="AL55" s="58">
        <v>350000</v>
      </c>
      <c r="AM55" s="409">
        <f>+AI55+AF55+AC55+Z55+W55+T55+Q55+N55+K55+H55+E55+AL55</f>
        <v>4675000</v>
      </c>
      <c r="AN55" s="447">
        <f>+AM54+AM51+AM36</f>
        <v>4873650</v>
      </c>
    </row>
    <row r="56" spans="1:40">
      <c r="A56" s="59"/>
      <c r="B56" s="60"/>
      <c r="C56" s="61"/>
      <c r="D56" s="61"/>
      <c r="E56" s="62"/>
      <c r="F56" s="61"/>
      <c r="G56" s="61"/>
      <c r="H56" s="62"/>
      <c r="I56" s="61"/>
      <c r="J56" s="61"/>
      <c r="K56" s="62"/>
      <c r="L56" s="61"/>
      <c r="M56" s="61"/>
      <c r="N56" s="62"/>
      <c r="O56" s="61"/>
      <c r="P56" s="61"/>
      <c r="Q56" s="62"/>
      <c r="R56" s="61"/>
      <c r="S56" s="61"/>
      <c r="T56" s="62"/>
      <c r="U56" s="61"/>
      <c r="V56" s="61"/>
      <c r="W56" s="62"/>
      <c r="X56" s="61"/>
      <c r="Y56" s="61"/>
      <c r="Z56" s="62"/>
      <c r="AA56" s="61"/>
      <c r="AB56" s="61"/>
      <c r="AC56" s="62"/>
      <c r="AD56" s="61"/>
      <c r="AE56" s="61"/>
      <c r="AF56" s="62"/>
      <c r="AG56" s="61"/>
      <c r="AH56" s="61"/>
      <c r="AI56" s="62"/>
      <c r="AJ56" s="61"/>
      <c r="AK56" s="61"/>
      <c r="AL56" s="62"/>
      <c r="AM56" s="410"/>
    </row>
    <row r="57" spans="1:40">
      <c r="A57" s="29"/>
      <c r="C57" s="32" t="s">
        <v>40</v>
      </c>
      <c r="E57" s="45"/>
      <c r="H57" s="45"/>
      <c r="K57" s="45"/>
      <c r="Q57" s="45"/>
      <c r="W57" s="313"/>
      <c r="Z57" s="313"/>
      <c r="AF57" s="313"/>
      <c r="AL57" s="313"/>
    </row>
    <row r="58" spans="1:40">
      <c r="A58" s="29"/>
      <c r="C58" s="6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  <c r="AG58" s="313"/>
      <c r="AH58" s="313"/>
      <c r="AI58" s="313"/>
      <c r="AJ58" s="313"/>
      <c r="AK58" s="313"/>
      <c r="AL58" s="313"/>
      <c r="AM58" s="313"/>
    </row>
    <row r="59" spans="1:40">
      <c r="A59" s="29"/>
      <c r="C59" s="63" t="s">
        <v>565</v>
      </c>
    </row>
    <row r="60" spans="1:40">
      <c r="A60" s="29"/>
    </row>
    <row r="61" spans="1:40">
      <c r="A61" s="29"/>
    </row>
    <row r="62" spans="1:40">
      <c r="A62" s="29"/>
    </row>
    <row r="63" spans="1:40">
      <c r="A63" s="29"/>
    </row>
    <row r="64" spans="1:40">
      <c r="A64" s="29"/>
    </row>
    <row r="65" spans="1:1">
      <c r="A65" s="29"/>
    </row>
    <row r="66" spans="1:1">
      <c r="A66" s="29"/>
    </row>
    <row r="67" spans="1:1">
      <c r="A67" s="29"/>
    </row>
    <row r="68" spans="1:1">
      <c r="A68" s="29"/>
    </row>
    <row r="69" spans="1:1">
      <c r="A69" s="29"/>
    </row>
    <row r="70" spans="1:1">
      <c r="A70" s="29"/>
    </row>
    <row r="71" spans="1:1">
      <c r="A71" s="29"/>
    </row>
    <row r="72" spans="1:1">
      <c r="A72" s="29"/>
    </row>
    <row r="73" spans="1:1">
      <c r="A73" s="29"/>
    </row>
    <row r="74" spans="1:1">
      <c r="A74" s="29"/>
    </row>
  </sheetData>
  <mergeCells count="12">
    <mergeCell ref="AJ1:AL1"/>
    <mergeCell ref="X1:Z1"/>
    <mergeCell ref="AA1:AC1"/>
    <mergeCell ref="AD1:AF1"/>
    <mergeCell ref="AG1:AI1"/>
    <mergeCell ref="O1:Q1"/>
    <mergeCell ref="R1:T1"/>
    <mergeCell ref="U1:W1"/>
    <mergeCell ref="C1:E1"/>
    <mergeCell ref="F1:H1"/>
    <mergeCell ref="I1:K1"/>
    <mergeCell ref="L1:N1"/>
  </mergeCells>
  <phoneticPr fontId="0" type="noConversion"/>
  <printOptions horizontalCentered="1" verticalCentered="1" gridLines="1"/>
  <pageMargins left="0.38" right="0.34" top="1.55" bottom="1" header="0.5" footer="0.5"/>
  <pageSetup paperSize="9" scale="53" firstPageNumber="6" orientation="landscape" useFirstPageNumber="1" horizontalDpi="4294967292" verticalDpi="4294967292" r:id="rId1"/>
  <headerFooter alignWithMargins="0">
    <oddHeader>&amp;L&amp;D
&amp;T&amp;C&amp;"Arial,Bold"
EXECUTRAIN - DUBAI
Budget for the period Jan 02 to Dec.02
Sales Budget&amp;R&amp;F</oddHeader>
    <oddFooter>&amp;CPage &amp;P</oddFooter>
  </headerFooter>
  <colBreaks count="1" manualBreakCount="1">
    <brk id="20" max="5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5"/>
  <dimension ref="A1:H43"/>
  <sheetViews>
    <sheetView showZeros="0" workbookViewId="0">
      <selection activeCell="B3" sqref="B3"/>
    </sheetView>
  </sheetViews>
  <sheetFormatPr defaultRowHeight="12.75"/>
  <cols>
    <col min="1" max="1" width="33.140625" customWidth="1"/>
    <col min="2" max="2" width="15.28515625" customWidth="1"/>
    <col min="3" max="3" width="11.42578125" customWidth="1"/>
    <col min="4" max="4" width="12.7109375" customWidth="1"/>
    <col min="6" max="6" width="12.7109375" customWidth="1"/>
    <col min="8" max="8" width="13.140625" customWidth="1"/>
  </cols>
  <sheetData>
    <row r="1" spans="1:8" ht="14.25">
      <c r="A1" s="150"/>
      <c r="B1" s="303" t="s">
        <v>536</v>
      </c>
      <c r="C1" s="304" t="s">
        <v>537</v>
      </c>
    </row>
    <row r="2" spans="1:8" ht="14.25">
      <c r="A2" s="305" t="s">
        <v>259</v>
      </c>
      <c r="B2" s="41"/>
      <c r="C2" s="37"/>
    </row>
    <row r="3" spans="1:8">
      <c r="A3" s="37" t="s">
        <v>465</v>
      </c>
      <c r="B3" s="306">
        <f>'Bud Sche'!B4</f>
        <v>5684</v>
      </c>
      <c r="C3" s="307">
        <v>1</v>
      </c>
      <c r="D3">
        <v>5684</v>
      </c>
    </row>
    <row r="4" spans="1:8">
      <c r="A4" s="37" t="s">
        <v>260</v>
      </c>
      <c r="B4" s="306">
        <f>+'Bud Sche'!B15+'Bud Sche'!B21</f>
        <v>35871</v>
      </c>
      <c r="C4" s="307">
        <v>2</v>
      </c>
      <c r="D4">
        <v>35871</v>
      </c>
    </row>
    <row r="5" spans="1:8">
      <c r="A5" s="37" t="s">
        <v>261</v>
      </c>
      <c r="B5" s="306">
        <f>'Bud Sche'!B37</f>
        <v>-74142</v>
      </c>
      <c r="C5" s="307">
        <v>3</v>
      </c>
      <c r="D5">
        <v>478358</v>
      </c>
    </row>
    <row r="6" spans="1:8">
      <c r="A6" s="37" t="s">
        <v>262</v>
      </c>
      <c r="B6" s="306"/>
      <c r="C6" s="307"/>
    </row>
    <row r="7" spans="1:8">
      <c r="A7" s="37" t="s">
        <v>289</v>
      </c>
      <c r="B7" s="306">
        <f>'Bud Sche'!B48</f>
        <v>91694.654545454599</v>
      </c>
      <c r="C7" s="307">
        <v>4</v>
      </c>
      <c r="D7">
        <v>69473</v>
      </c>
    </row>
    <row r="8" spans="1:8">
      <c r="A8" s="37" t="s">
        <v>720</v>
      </c>
      <c r="B8" s="306">
        <f>+'Cash Flow'!N23</f>
        <v>141790.78109090897</v>
      </c>
      <c r="C8" s="307"/>
      <c r="D8">
        <v>109321</v>
      </c>
      <c r="F8" s="311"/>
      <c r="H8" s="311"/>
    </row>
    <row r="9" spans="1:8" ht="14.25">
      <c r="A9" s="308" t="s">
        <v>263</v>
      </c>
      <c r="B9" s="306">
        <f>SUM(B3:B8)</f>
        <v>200898.43563636357</v>
      </c>
      <c r="C9" s="307"/>
      <c r="D9" s="306">
        <f>SUM(D3:D8)</f>
        <v>698707</v>
      </c>
      <c r="F9" s="311"/>
      <c r="H9" s="311"/>
    </row>
    <row r="10" spans="1:8">
      <c r="A10" s="37"/>
      <c r="B10" s="306"/>
      <c r="C10" s="307"/>
      <c r="F10" s="311"/>
      <c r="H10" s="311"/>
    </row>
    <row r="11" spans="1:8" ht="14.25">
      <c r="A11" s="305" t="s">
        <v>264</v>
      </c>
      <c r="B11" s="306"/>
      <c r="C11" s="307"/>
      <c r="F11" s="311"/>
      <c r="H11" s="311"/>
    </row>
    <row r="12" spans="1:8">
      <c r="A12" s="37" t="s">
        <v>538</v>
      </c>
      <c r="B12" s="306">
        <v>0</v>
      </c>
      <c r="C12" s="307"/>
      <c r="F12" s="311"/>
      <c r="H12" s="311"/>
    </row>
    <row r="13" spans="1:8">
      <c r="A13" s="37" t="s">
        <v>265</v>
      </c>
      <c r="B13" s="306">
        <f>'Bud Sche'!I60</f>
        <v>241304.75</v>
      </c>
      <c r="C13" s="307">
        <v>5</v>
      </c>
      <c r="D13">
        <v>779882</v>
      </c>
      <c r="F13" s="311"/>
    </row>
    <row r="14" spans="1:8">
      <c r="A14" s="37" t="s">
        <v>266</v>
      </c>
      <c r="B14" s="306">
        <f>'Bud Sche'!G76</f>
        <v>288152</v>
      </c>
      <c r="C14" s="307">
        <v>6</v>
      </c>
      <c r="D14">
        <v>229001</v>
      </c>
      <c r="F14" s="311"/>
    </row>
    <row r="15" spans="1:8">
      <c r="A15" s="37"/>
      <c r="B15" s="306"/>
      <c r="C15" s="307"/>
      <c r="F15" s="311"/>
    </row>
    <row r="16" spans="1:8" ht="14.25">
      <c r="A16" s="308" t="s">
        <v>267</v>
      </c>
      <c r="B16" s="306">
        <f>SUM(B12:B15)</f>
        <v>529456.75</v>
      </c>
      <c r="C16" s="307"/>
      <c r="D16" s="306">
        <f>SUM(D12:D15)</f>
        <v>1008883</v>
      </c>
      <c r="F16" s="311"/>
      <c r="G16" s="311"/>
      <c r="H16" s="311"/>
    </row>
    <row r="17" spans="1:8">
      <c r="A17" s="37"/>
      <c r="B17" s="306"/>
      <c r="C17" s="307"/>
      <c r="D17" s="306"/>
      <c r="F17" s="311"/>
      <c r="H17" s="311"/>
    </row>
    <row r="18" spans="1:8" ht="14.25">
      <c r="A18" s="308" t="s">
        <v>539</v>
      </c>
      <c r="B18" s="306">
        <f>B9-B16</f>
        <v>-328558.31436363643</v>
      </c>
      <c r="C18" s="307"/>
      <c r="D18" s="306">
        <f>D9-D16</f>
        <v>-310176</v>
      </c>
    </row>
    <row r="19" spans="1:8">
      <c r="A19" s="37"/>
      <c r="B19" s="306"/>
      <c r="C19" s="307"/>
    </row>
    <row r="20" spans="1:8" ht="14.25">
      <c r="A20" s="305" t="s">
        <v>268</v>
      </c>
      <c r="B20" s="306"/>
      <c r="C20" s="307"/>
    </row>
    <row r="21" spans="1:8">
      <c r="A21" s="37" t="s">
        <v>540</v>
      </c>
      <c r="B21" s="306">
        <f>+'Bud Sche'!D94</f>
        <v>311786.76575757575</v>
      </c>
      <c r="C21" s="307">
        <v>7</v>
      </c>
      <c r="D21">
        <f>1721922-1125511</f>
        <v>596411</v>
      </c>
    </row>
    <row r="22" spans="1:8">
      <c r="A22" s="37" t="s">
        <v>541</v>
      </c>
      <c r="B22" s="306">
        <f>+'Bud Sche'!B102</f>
        <v>0</v>
      </c>
      <c r="C22" s="307">
        <v>8</v>
      </c>
      <c r="D22">
        <v>0</v>
      </c>
    </row>
    <row r="23" spans="1:8">
      <c r="A23" s="37" t="s">
        <v>542</v>
      </c>
      <c r="B23" s="306">
        <f>+'Bud Sche'!B108</f>
        <v>27496</v>
      </c>
      <c r="C23" s="307">
        <v>9</v>
      </c>
      <c r="D23">
        <v>44332</v>
      </c>
    </row>
    <row r="24" spans="1:8">
      <c r="A24" s="37" t="s">
        <v>543</v>
      </c>
      <c r="B24" s="306">
        <v>0</v>
      </c>
      <c r="C24" s="307"/>
    </row>
    <row r="25" spans="1:8">
      <c r="A25" s="37"/>
      <c r="B25" s="306"/>
      <c r="C25" s="307"/>
    </row>
    <row r="26" spans="1:8">
      <c r="A26" s="37"/>
      <c r="B26" s="306"/>
      <c r="C26" s="307"/>
    </row>
    <row r="27" spans="1:8" ht="14.25">
      <c r="A27" s="308" t="s">
        <v>269</v>
      </c>
      <c r="B27" s="306">
        <f>SUM(B21:B26)</f>
        <v>339282.76575757575</v>
      </c>
      <c r="C27" s="307"/>
      <c r="D27" s="306">
        <f>SUM(D21:D26)</f>
        <v>640743</v>
      </c>
    </row>
    <row r="28" spans="1:8">
      <c r="A28" s="37"/>
      <c r="B28" s="306"/>
      <c r="C28" s="307"/>
    </row>
    <row r="29" spans="1:8" ht="14.25">
      <c r="A29" s="305" t="s">
        <v>270</v>
      </c>
      <c r="B29" s="306"/>
      <c r="C29" s="307"/>
    </row>
    <row r="30" spans="1:8">
      <c r="A30" s="37" t="s">
        <v>271</v>
      </c>
      <c r="B30" s="306"/>
      <c r="C30" s="307"/>
      <c r="D30">
        <v>0</v>
      </c>
    </row>
    <row r="31" spans="1:8">
      <c r="A31" s="37"/>
      <c r="B31" s="306"/>
      <c r="C31" s="307"/>
    </row>
    <row r="32" spans="1:8" ht="14.25">
      <c r="A32" s="308" t="s">
        <v>272</v>
      </c>
      <c r="B32" s="306">
        <f>+B30</f>
        <v>0</v>
      </c>
      <c r="C32" s="307"/>
    </row>
    <row r="33" spans="1:4">
      <c r="A33" s="37"/>
      <c r="B33" s="306"/>
      <c r="C33" s="307"/>
    </row>
    <row r="34" spans="1:4" ht="14.25">
      <c r="A34" s="308" t="s">
        <v>273</v>
      </c>
      <c r="B34" s="306">
        <f>B18+B27-B32</f>
        <v>10724.451393939322</v>
      </c>
      <c r="C34" s="307"/>
      <c r="D34" s="306">
        <f>D18+D27-D32</f>
        <v>330567</v>
      </c>
    </row>
    <row r="35" spans="1:4">
      <c r="A35" s="37"/>
      <c r="B35" s="306"/>
      <c r="C35" s="307"/>
    </row>
    <row r="36" spans="1:4" ht="14.25">
      <c r="A36" s="305" t="s">
        <v>544</v>
      </c>
      <c r="B36" s="306"/>
      <c r="C36" s="307"/>
    </row>
    <row r="37" spans="1:4">
      <c r="A37" s="37" t="s">
        <v>274</v>
      </c>
      <c r="B37" s="306">
        <f>'[2]B.S SCHEDULES'!D115</f>
        <v>300000</v>
      </c>
      <c r="C37" s="307">
        <v>10</v>
      </c>
      <c r="D37">
        <v>300000</v>
      </c>
    </row>
    <row r="38" spans="1:4">
      <c r="A38" s="37" t="s">
        <v>545</v>
      </c>
      <c r="B38" s="306">
        <f>+'Bud Sche'!D114+CostFlow!O51+CostFlow!O44-2996.15</f>
        <v>3983136.9645454548</v>
      </c>
      <c r="C38" s="307">
        <v>11</v>
      </c>
      <c r="D38">
        <v>3957408</v>
      </c>
    </row>
    <row r="39" spans="1:4">
      <c r="A39" s="37" t="s">
        <v>543</v>
      </c>
      <c r="B39" s="306">
        <f>INC.STATE!L43</f>
        <v>-3898666.7598181819</v>
      </c>
      <c r="C39" s="307"/>
      <c r="D39">
        <v>-3926848</v>
      </c>
    </row>
    <row r="40" spans="1:4">
      <c r="A40" s="37"/>
      <c r="B40" s="306"/>
      <c r="C40" s="307"/>
    </row>
    <row r="41" spans="1:4" ht="14.25">
      <c r="A41" s="309" t="s">
        <v>546</v>
      </c>
      <c r="B41" s="310">
        <f>SUM(B37:B40)+1</f>
        <v>384471.20472727297</v>
      </c>
      <c r="C41" s="145"/>
      <c r="D41" s="310">
        <f>SUM(D37:D40)+7</f>
        <v>330567</v>
      </c>
    </row>
    <row r="43" spans="1:4">
      <c r="A43" t="s">
        <v>547</v>
      </c>
      <c r="B43" s="311">
        <f>B41-B34</f>
        <v>373746.75333333365</v>
      </c>
    </row>
  </sheetData>
  <phoneticPr fontId="0" type="noConversion"/>
  <printOptions gridLines="1"/>
  <pageMargins left="1.63" right="0.75" top="1.1399999999999999" bottom="1" header="0.5" footer="0.5"/>
  <pageSetup firstPageNumber="15" orientation="portrait" useFirstPageNumber="1" r:id="rId1"/>
  <headerFooter alignWithMargins="0">
    <oddHeader xml:space="preserve">&amp;C&amp;"Arial,Bold"EXECUTRAIN - DUBAI
Budget for the period Jan 02 to Dec 02
Balance Sheet as at 31st Dec 02
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6"/>
  <dimension ref="A1:H240"/>
  <sheetViews>
    <sheetView topLeftCell="A126" workbookViewId="0">
      <selection activeCell="D135" sqref="D135"/>
    </sheetView>
  </sheetViews>
  <sheetFormatPr defaultRowHeight="11.25"/>
  <cols>
    <col min="1" max="1" width="4" style="423" customWidth="1"/>
    <col min="2" max="2" width="9.7109375" style="423" customWidth="1"/>
    <col min="3" max="3" width="28.85546875" style="423" customWidth="1"/>
    <col min="4" max="4" width="16.28515625" style="440" customWidth="1"/>
    <col min="5" max="9" width="12.7109375" style="423" customWidth="1"/>
    <col min="10" max="16384" width="9.140625" style="423"/>
  </cols>
  <sheetData>
    <row r="1" spans="1:8" ht="13.5" thickBot="1">
      <c r="A1" s="420"/>
      <c r="B1" s="421"/>
      <c r="C1" s="421"/>
      <c r="D1" s="422"/>
      <c r="E1" s="420"/>
    </row>
    <row r="2" spans="1:8" ht="20.25" customHeight="1" thickTop="1">
      <c r="A2" s="424"/>
      <c r="B2" s="513" t="s">
        <v>550</v>
      </c>
      <c r="C2" s="513"/>
      <c r="D2" s="514"/>
      <c r="E2" s="425"/>
    </row>
    <row r="3" spans="1:8" ht="12">
      <c r="A3" s="424"/>
      <c r="B3" s="515" t="s">
        <v>576</v>
      </c>
      <c r="C3" s="515"/>
      <c r="D3" s="516"/>
      <c r="E3" s="425"/>
    </row>
    <row r="4" spans="1:8" ht="12">
      <c r="A4" s="424"/>
      <c r="B4" s="515" t="s">
        <v>577</v>
      </c>
      <c r="C4" s="515"/>
      <c r="D4" s="516"/>
      <c r="E4" s="425"/>
    </row>
    <row r="5" spans="1:8" ht="12">
      <c r="A5" s="424"/>
      <c r="B5" s="515" t="s">
        <v>578</v>
      </c>
      <c r="C5" s="515"/>
      <c r="D5" s="516"/>
      <c r="E5" s="425"/>
    </row>
    <row r="6" spans="1:8" ht="12.75" customHeight="1">
      <c r="A6" s="424"/>
      <c r="B6" s="515" t="s">
        <v>579</v>
      </c>
      <c r="C6" s="515"/>
      <c r="D6" s="516"/>
      <c r="E6" s="425"/>
    </row>
    <row r="7" spans="1:8" ht="22.5" customHeight="1">
      <c r="A7" s="424"/>
      <c r="B7" s="517" t="s">
        <v>580</v>
      </c>
      <c r="C7" s="517"/>
      <c r="D7" s="518"/>
      <c r="E7" s="425"/>
    </row>
    <row r="8" spans="1:8" ht="12">
      <c r="A8" s="424"/>
      <c r="B8" s="519" t="s">
        <v>743</v>
      </c>
      <c r="C8" s="519"/>
      <c r="D8" s="520"/>
      <c r="E8" s="425"/>
    </row>
    <row r="9" spans="1:8" ht="7.5" customHeight="1">
      <c r="A9" s="424"/>
      <c r="B9" s="521"/>
      <c r="C9" s="521"/>
      <c r="D9" s="522"/>
      <c r="E9" s="425"/>
    </row>
    <row r="10" spans="1:8" s="428" customFormat="1" ht="11.25" customHeight="1">
      <c r="A10" s="426"/>
      <c r="B10" s="523" t="s">
        <v>579</v>
      </c>
      <c r="C10" s="524" t="s">
        <v>579</v>
      </c>
      <c r="D10" s="525"/>
      <c r="E10" s="427"/>
    </row>
    <row r="11" spans="1:8" s="435" customFormat="1" ht="12.95" customHeight="1">
      <c r="A11" s="429"/>
      <c r="B11" s="526" t="s">
        <v>579</v>
      </c>
      <c r="C11" s="527" t="s">
        <v>581</v>
      </c>
      <c r="D11" s="528"/>
      <c r="E11" s="433"/>
      <c r="F11" s="434"/>
      <c r="G11" s="434"/>
      <c r="H11" s="434"/>
    </row>
    <row r="12" spans="1:8" s="425" customFormat="1" ht="12">
      <c r="A12" s="424"/>
      <c r="B12" s="526" t="s">
        <v>579</v>
      </c>
      <c r="C12" s="527" t="s">
        <v>582</v>
      </c>
      <c r="D12" s="528"/>
      <c r="E12" s="436"/>
    </row>
    <row r="13" spans="1:8" ht="12">
      <c r="B13" s="526" t="s">
        <v>579</v>
      </c>
      <c r="C13" s="527" t="s">
        <v>583</v>
      </c>
      <c r="D13" s="528"/>
    </row>
    <row r="14" spans="1:8" ht="12">
      <c r="B14" s="526" t="s">
        <v>579</v>
      </c>
      <c r="C14" s="527" t="s">
        <v>584</v>
      </c>
      <c r="D14" s="528">
        <v>988</v>
      </c>
    </row>
    <row r="15" spans="1:8" ht="12">
      <c r="B15" s="526" t="s">
        <v>579</v>
      </c>
      <c r="C15" s="527" t="s">
        <v>585</v>
      </c>
      <c r="D15" s="528">
        <v>988</v>
      </c>
    </row>
    <row r="16" spans="1:8" ht="12">
      <c r="B16" s="526" t="s">
        <v>579</v>
      </c>
      <c r="C16" s="527" t="s">
        <v>586</v>
      </c>
      <c r="D16" s="528"/>
    </row>
    <row r="17" spans="2:4" ht="12">
      <c r="B17" s="526" t="s">
        <v>579</v>
      </c>
      <c r="C17" s="527" t="s">
        <v>587</v>
      </c>
      <c r="D17" s="528">
        <v>1872</v>
      </c>
    </row>
    <row r="18" spans="2:4" ht="12">
      <c r="B18" s="526" t="s">
        <v>579</v>
      </c>
      <c r="C18" s="527" t="s">
        <v>744</v>
      </c>
      <c r="D18" s="528">
        <v>1040</v>
      </c>
    </row>
    <row r="19" spans="2:4" ht="12">
      <c r="B19" s="526" t="s">
        <v>579</v>
      </c>
      <c r="C19" s="527" t="s">
        <v>588</v>
      </c>
      <c r="D19" s="528">
        <v>2912</v>
      </c>
    </row>
    <row r="20" spans="2:4" ht="12">
      <c r="B20" s="526" t="s">
        <v>579</v>
      </c>
      <c r="C20" s="527" t="s">
        <v>589</v>
      </c>
      <c r="D20" s="528"/>
    </row>
    <row r="21" spans="2:4" ht="12">
      <c r="B21" s="526" t="s">
        <v>579</v>
      </c>
      <c r="C21" s="527" t="s">
        <v>590</v>
      </c>
      <c r="D21" s="528">
        <v>10710</v>
      </c>
    </row>
    <row r="22" spans="2:4" ht="12">
      <c r="B22" s="526" t="s">
        <v>579</v>
      </c>
      <c r="C22" s="527" t="s">
        <v>591</v>
      </c>
      <c r="D22" s="528">
        <v>10710</v>
      </c>
    </row>
    <row r="23" spans="2:4" ht="12">
      <c r="B23" s="526" t="s">
        <v>579</v>
      </c>
      <c r="C23" s="527" t="s">
        <v>592</v>
      </c>
      <c r="D23" s="528"/>
    </row>
    <row r="24" spans="2:4" ht="12">
      <c r="B24" s="526" t="s">
        <v>579</v>
      </c>
      <c r="C24" s="527" t="s">
        <v>593</v>
      </c>
      <c r="D24" s="528">
        <v>6948</v>
      </c>
    </row>
    <row r="25" spans="2:4" ht="12">
      <c r="B25" s="526" t="s">
        <v>579</v>
      </c>
      <c r="C25" s="527" t="s">
        <v>594</v>
      </c>
      <c r="D25" s="528">
        <v>6948</v>
      </c>
    </row>
    <row r="26" spans="2:4" ht="12">
      <c r="B26" s="526" t="s">
        <v>579</v>
      </c>
      <c r="C26" s="527" t="s">
        <v>595</v>
      </c>
      <c r="D26" s="528">
        <v>21558</v>
      </c>
    </row>
    <row r="27" spans="2:4" ht="12">
      <c r="B27" s="526" t="s">
        <v>579</v>
      </c>
      <c r="C27" s="527" t="s">
        <v>745</v>
      </c>
      <c r="D27" s="528"/>
    </row>
    <row r="28" spans="2:4" ht="12">
      <c r="B28" s="526" t="s">
        <v>579</v>
      </c>
      <c r="C28" s="527" t="s">
        <v>746</v>
      </c>
      <c r="D28" s="528"/>
    </row>
    <row r="29" spans="2:4" ht="12">
      <c r="B29" s="526" t="s">
        <v>579</v>
      </c>
      <c r="C29" s="527" t="s">
        <v>747</v>
      </c>
      <c r="D29" s="528">
        <v>683368.08</v>
      </c>
    </row>
    <row r="30" spans="2:4" ht="12">
      <c r="B30" s="526" t="s">
        <v>579</v>
      </c>
      <c r="C30" s="527" t="s">
        <v>748</v>
      </c>
      <c r="D30" s="528">
        <v>37047</v>
      </c>
    </row>
    <row r="31" spans="2:4" ht="12">
      <c r="B31" s="526" t="s">
        <v>579</v>
      </c>
      <c r="C31" s="527" t="s">
        <v>749</v>
      </c>
      <c r="D31" s="528">
        <v>14770</v>
      </c>
    </row>
    <row r="32" spans="2:4" ht="12">
      <c r="B32" s="526" t="s">
        <v>579</v>
      </c>
      <c r="C32" s="527" t="s">
        <v>750</v>
      </c>
      <c r="D32" s="528">
        <v>22812.560000000001</v>
      </c>
    </row>
    <row r="33" spans="2:4" ht="12">
      <c r="B33" s="526" t="s">
        <v>579</v>
      </c>
      <c r="C33" s="527" t="s">
        <v>751</v>
      </c>
      <c r="D33" s="528">
        <v>24608</v>
      </c>
    </row>
    <row r="34" spans="2:4" ht="12">
      <c r="B34" s="526" t="s">
        <v>579</v>
      </c>
      <c r="C34" s="527" t="s">
        <v>604</v>
      </c>
      <c r="D34" s="528">
        <v>22711</v>
      </c>
    </row>
    <row r="35" spans="2:4" ht="12">
      <c r="B35" s="526" t="s">
        <v>579</v>
      </c>
      <c r="C35" s="527" t="s">
        <v>752</v>
      </c>
      <c r="D35" s="528">
        <v>805316.64</v>
      </c>
    </row>
    <row r="36" spans="2:4" ht="12">
      <c r="B36" s="526" t="s">
        <v>579</v>
      </c>
      <c r="C36" s="527" t="s">
        <v>753</v>
      </c>
      <c r="D36" s="528"/>
    </row>
    <row r="37" spans="2:4" ht="12">
      <c r="B37" s="526" t="s">
        <v>579</v>
      </c>
      <c r="C37" s="527" t="s">
        <v>685</v>
      </c>
      <c r="D37" s="528">
        <v>208457.5</v>
      </c>
    </row>
    <row r="38" spans="2:4" ht="12">
      <c r="B38" s="526" t="s">
        <v>579</v>
      </c>
      <c r="C38" s="527" t="s">
        <v>754</v>
      </c>
      <c r="D38" s="528">
        <v>1178128.46</v>
      </c>
    </row>
    <row r="39" spans="2:4" ht="12">
      <c r="B39" s="526" t="s">
        <v>579</v>
      </c>
      <c r="C39" s="527" t="s">
        <v>755</v>
      </c>
      <c r="D39" s="528">
        <v>382595.12</v>
      </c>
    </row>
    <row r="40" spans="2:4" ht="12">
      <c r="B40" s="526" t="s">
        <v>579</v>
      </c>
      <c r="C40" s="527" t="s">
        <v>756</v>
      </c>
      <c r="D40" s="528">
        <v>14204</v>
      </c>
    </row>
    <row r="41" spans="2:4" ht="12">
      <c r="B41" s="526" t="s">
        <v>579</v>
      </c>
      <c r="C41" s="527" t="s">
        <v>757</v>
      </c>
      <c r="D41" s="528">
        <v>27321</v>
      </c>
    </row>
    <row r="42" spans="2:4" ht="12">
      <c r="B42" s="526" t="s">
        <v>579</v>
      </c>
      <c r="C42" s="527" t="s">
        <v>603</v>
      </c>
      <c r="D42" s="528">
        <v>1600</v>
      </c>
    </row>
    <row r="43" spans="2:4" ht="12">
      <c r="B43" s="526" t="s">
        <v>579</v>
      </c>
      <c r="C43" s="527" t="s">
        <v>751</v>
      </c>
      <c r="D43" s="528">
        <v>5760</v>
      </c>
    </row>
    <row r="44" spans="2:4" ht="12">
      <c r="B44" s="526" t="s">
        <v>579</v>
      </c>
      <c r="C44" s="527" t="s">
        <v>750</v>
      </c>
      <c r="D44" s="528">
        <v>17694.29</v>
      </c>
    </row>
    <row r="45" spans="2:4" ht="12">
      <c r="B45" s="526" t="s">
        <v>579</v>
      </c>
      <c r="C45" s="527" t="s">
        <v>604</v>
      </c>
      <c r="D45" s="528">
        <v>51398</v>
      </c>
    </row>
    <row r="46" spans="2:4" ht="12">
      <c r="B46" s="526" t="s">
        <v>579</v>
      </c>
      <c r="C46" s="527" t="s">
        <v>597</v>
      </c>
      <c r="D46" s="528">
        <v>5718.75</v>
      </c>
    </row>
    <row r="47" spans="2:4" ht="12">
      <c r="B47" s="526" t="s">
        <v>579</v>
      </c>
      <c r="C47" s="527" t="s">
        <v>758</v>
      </c>
      <c r="D47" s="528">
        <v>1892877.12</v>
      </c>
    </row>
    <row r="48" spans="2:4" ht="12">
      <c r="B48" s="526" t="s">
        <v>579</v>
      </c>
      <c r="C48" s="527" t="s">
        <v>759</v>
      </c>
      <c r="D48" s="528"/>
    </row>
    <row r="49" spans="2:4" ht="12">
      <c r="B49" s="526" t="s">
        <v>579</v>
      </c>
      <c r="C49" s="527" t="s">
        <v>128</v>
      </c>
      <c r="D49" s="528">
        <v>46518</v>
      </c>
    </row>
    <row r="50" spans="2:4" ht="12">
      <c r="B50" s="526" t="s">
        <v>579</v>
      </c>
      <c r="C50" s="527" t="s">
        <v>760</v>
      </c>
      <c r="D50" s="528">
        <v>46518</v>
      </c>
    </row>
    <row r="51" spans="2:4" ht="12">
      <c r="B51" s="526" t="s">
        <v>579</v>
      </c>
      <c r="C51" s="527" t="s">
        <v>761</v>
      </c>
      <c r="D51" s="528"/>
    </row>
    <row r="52" spans="2:4" ht="12">
      <c r="B52" s="526" t="s">
        <v>579</v>
      </c>
      <c r="C52" s="527" t="s">
        <v>762</v>
      </c>
      <c r="D52" s="528">
        <v>39553</v>
      </c>
    </row>
    <row r="53" spans="2:4" ht="12">
      <c r="B53" s="526" t="s">
        <v>579</v>
      </c>
      <c r="C53" s="527" t="s">
        <v>763</v>
      </c>
      <c r="D53" s="528">
        <v>2784264.76</v>
      </c>
    </row>
    <row r="54" spans="2:4" ht="12">
      <c r="B54" s="526" t="s">
        <v>579</v>
      </c>
      <c r="C54" s="527" t="s">
        <v>764</v>
      </c>
      <c r="D54" s="528"/>
    </row>
    <row r="55" spans="2:4" ht="12">
      <c r="B55" s="526" t="s">
        <v>579</v>
      </c>
      <c r="C55" s="527" t="s">
        <v>765</v>
      </c>
      <c r="D55" s="528"/>
    </row>
    <row r="56" spans="2:4" ht="12">
      <c r="B56" s="526" t="s">
        <v>579</v>
      </c>
      <c r="C56" s="527" t="s">
        <v>632</v>
      </c>
      <c r="D56" s="528">
        <v>77302</v>
      </c>
    </row>
    <row r="57" spans="2:4" ht="12">
      <c r="B57" s="526" t="s">
        <v>579</v>
      </c>
      <c r="C57" s="527" t="s">
        <v>766</v>
      </c>
      <c r="D57" s="528">
        <v>77302</v>
      </c>
    </row>
    <row r="58" spans="2:4" ht="12">
      <c r="B58" s="526" t="s">
        <v>579</v>
      </c>
      <c r="C58" s="527" t="s">
        <v>767</v>
      </c>
      <c r="D58" s="528"/>
    </row>
    <row r="59" spans="2:4" ht="12">
      <c r="B59" s="526" t="s">
        <v>579</v>
      </c>
      <c r="C59" s="527" t="s">
        <v>129</v>
      </c>
      <c r="D59" s="528">
        <v>241487</v>
      </c>
    </row>
    <row r="60" spans="2:4" ht="12">
      <c r="B60" s="526" t="s">
        <v>579</v>
      </c>
      <c r="C60" s="527" t="s">
        <v>768</v>
      </c>
      <c r="D60" s="528">
        <v>125</v>
      </c>
    </row>
    <row r="61" spans="2:4" ht="12">
      <c r="B61" s="526" t="s">
        <v>579</v>
      </c>
      <c r="C61" s="527" t="s">
        <v>769</v>
      </c>
      <c r="D61" s="528">
        <v>318914</v>
      </c>
    </row>
    <row r="62" spans="2:4" ht="12">
      <c r="B62" s="526" t="s">
        <v>579</v>
      </c>
      <c r="C62" s="527" t="s">
        <v>596</v>
      </c>
      <c r="D62" s="528"/>
    </row>
    <row r="63" spans="2:4" ht="12">
      <c r="B63" s="526" t="s">
        <v>579</v>
      </c>
      <c r="C63" s="527" t="s">
        <v>770</v>
      </c>
      <c r="D63" s="528">
        <v>9502</v>
      </c>
    </row>
    <row r="64" spans="2:4" ht="12">
      <c r="B64" s="526" t="s">
        <v>579</v>
      </c>
      <c r="C64" s="527" t="s">
        <v>597</v>
      </c>
      <c r="D64" s="528">
        <v>29006</v>
      </c>
    </row>
    <row r="65" spans="2:4" ht="12">
      <c r="B65" s="526" t="s">
        <v>579</v>
      </c>
      <c r="C65" s="527" t="s">
        <v>598</v>
      </c>
      <c r="D65" s="528">
        <v>5700</v>
      </c>
    </row>
    <row r="66" spans="2:4" ht="12">
      <c r="B66" s="526" t="s">
        <v>579</v>
      </c>
      <c r="C66" s="527" t="s">
        <v>599</v>
      </c>
      <c r="D66" s="528">
        <v>44208</v>
      </c>
    </row>
    <row r="67" spans="2:4" ht="12">
      <c r="B67" s="526" t="s">
        <v>579</v>
      </c>
      <c r="C67" s="527" t="s">
        <v>600</v>
      </c>
      <c r="D67" s="528"/>
    </row>
    <row r="68" spans="2:4" ht="12">
      <c r="B68" s="526" t="s">
        <v>579</v>
      </c>
      <c r="C68" s="527" t="s">
        <v>771</v>
      </c>
      <c r="D68" s="528">
        <v>5465</v>
      </c>
    </row>
    <row r="69" spans="2:4" ht="12">
      <c r="B69" s="526" t="s">
        <v>579</v>
      </c>
      <c r="C69" s="527" t="s">
        <v>601</v>
      </c>
      <c r="D69" s="528">
        <v>11747</v>
      </c>
    </row>
    <row r="70" spans="2:4" ht="12">
      <c r="B70" s="526" t="s">
        <v>579</v>
      </c>
      <c r="C70" s="527" t="s">
        <v>602</v>
      </c>
      <c r="D70" s="528">
        <v>17212</v>
      </c>
    </row>
    <row r="71" spans="2:4" ht="12">
      <c r="B71" s="526" t="s">
        <v>579</v>
      </c>
      <c r="C71" s="527" t="s">
        <v>604</v>
      </c>
      <c r="D71" s="528"/>
    </row>
    <row r="72" spans="2:4" ht="12">
      <c r="B72" s="526" t="s">
        <v>579</v>
      </c>
      <c r="C72" s="527" t="s">
        <v>605</v>
      </c>
      <c r="D72" s="528">
        <v>18551</v>
      </c>
    </row>
    <row r="73" spans="2:4" ht="12">
      <c r="B73" s="526" t="s">
        <v>579</v>
      </c>
      <c r="C73" s="527" t="s">
        <v>127</v>
      </c>
      <c r="D73" s="528">
        <v>-1378</v>
      </c>
    </row>
    <row r="74" spans="2:4" ht="12">
      <c r="B74" s="526" t="s">
        <v>579</v>
      </c>
      <c r="C74" s="527" t="s">
        <v>606</v>
      </c>
      <c r="D74" s="528">
        <v>7342</v>
      </c>
    </row>
    <row r="75" spans="2:4" ht="12">
      <c r="B75" s="526" t="s">
        <v>579</v>
      </c>
      <c r="C75" s="527" t="s">
        <v>607</v>
      </c>
      <c r="D75" s="528">
        <v>24515</v>
      </c>
    </row>
    <row r="76" spans="2:4" ht="12">
      <c r="B76" s="526" t="s">
        <v>579</v>
      </c>
      <c r="C76" s="527" t="s">
        <v>608</v>
      </c>
      <c r="D76" s="528"/>
    </row>
    <row r="77" spans="2:4" ht="12">
      <c r="B77" s="526" t="s">
        <v>579</v>
      </c>
      <c r="C77" s="527" t="s">
        <v>354</v>
      </c>
      <c r="D77" s="528">
        <v>28804</v>
      </c>
    </row>
    <row r="78" spans="2:4" ht="12">
      <c r="B78" s="526" t="s">
        <v>579</v>
      </c>
      <c r="C78" s="527" t="s">
        <v>609</v>
      </c>
      <c r="D78" s="528">
        <v>28804</v>
      </c>
    </row>
    <row r="79" spans="2:4" ht="12">
      <c r="B79" s="526" t="s">
        <v>579</v>
      </c>
      <c r="C79" s="527" t="s">
        <v>610</v>
      </c>
      <c r="D79" s="528">
        <v>3239475.76</v>
      </c>
    </row>
    <row r="80" spans="2:4" ht="12">
      <c r="B80" s="526" t="s">
        <v>579</v>
      </c>
      <c r="C80" s="527" t="s">
        <v>579</v>
      </c>
      <c r="D80" s="528"/>
    </row>
    <row r="81" spans="2:5" ht="12">
      <c r="B81" s="526" t="s">
        <v>579</v>
      </c>
      <c r="C81" s="527" t="s">
        <v>611</v>
      </c>
      <c r="D81" s="528"/>
    </row>
    <row r="82" spans="2:5" ht="12">
      <c r="B82" s="526" t="s">
        <v>579</v>
      </c>
      <c r="C82" s="527" t="s">
        <v>612</v>
      </c>
      <c r="D82" s="528"/>
    </row>
    <row r="83" spans="2:5" ht="12">
      <c r="B83" s="526" t="s">
        <v>579</v>
      </c>
      <c r="C83" s="527" t="s">
        <v>613</v>
      </c>
      <c r="D83" s="528">
        <v>72221.039999999994</v>
      </c>
    </row>
    <row r="84" spans="2:5" ht="12">
      <c r="B84" s="526" t="s">
        <v>579</v>
      </c>
      <c r="C84" s="527" t="s">
        <v>614</v>
      </c>
      <c r="D84" s="528">
        <v>2500</v>
      </c>
    </row>
    <row r="85" spans="2:5" ht="12">
      <c r="B85" s="526" t="s">
        <v>579</v>
      </c>
      <c r="C85" s="527" t="s">
        <v>615</v>
      </c>
      <c r="D85" s="528">
        <v>6985.67</v>
      </c>
    </row>
    <row r="86" spans="2:5" ht="12">
      <c r="B86" s="526" t="s">
        <v>579</v>
      </c>
      <c r="C86" s="527" t="s">
        <v>616</v>
      </c>
      <c r="D86" s="528">
        <v>81706.710000000006</v>
      </c>
    </row>
    <row r="87" spans="2:5" ht="12">
      <c r="B87" s="526" t="s">
        <v>579</v>
      </c>
      <c r="C87" s="527" t="s">
        <v>617</v>
      </c>
      <c r="D87" s="528"/>
    </row>
    <row r="88" spans="2:5" ht="12">
      <c r="B88" s="526" t="s">
        <v>579</v>
      </c>
      <c r="C88" s="527" t="s">
        <v>618</v>
      </c>
      <c r="D88" s="528">
        <v>180897.05</v>
      </c>
    </row>
    <row r="89" spans="2:5" ht="12">
      <c r="B89" s="526" t="s">
        <v>579</v>
      </c>
      <c r="C89" s="527" t="s">
        <v>619</v>
      </c>
      <c r="D89" s="528">
        <v>200508.75</v>
      </c>
    </row>
    <row r="90" spans="2:5" ht="12">
      <c r="B90" s="526" t="s">
        <v>579</v>
      </c>
      <c r="C90" s="527" t="s">
        <v>772</v>
      </c>
      <c r="D90" s="528">
        <v>8085</v>
      </c>
    </row>
    <row r="91" spans="2:5" ht="12">
      <c r="B91" s="526" t="s">
        <v>579</v>
      </c>
      <c r="C91" s="527" t="s">
        <v>620</v>
      </c>
      <c r="D91" s="528">
        <v>12652.01</v>
      </c>
    </row>
    <row r="92" spans="2:5" ht="12">
      <c r="B92" s="526" t="s">
        <v>579</v>
      </c>
      <c r="C92" s="527" t="s">
        <v>621</v>
      </c>
      <c r="D92" s="528">
        <v>402142.81</v>
      </c>
    </row>
    <row r="93" spans="2:5" ht="12">
      <c r="B93" s="526" t="s">
        <v>579</v>
      </c>
      <c r="C93" s="527" t="s">
        <v>622</v>
      </c>
      <c r="D93" s="528"/>
    </row>
    <row r="94" spans="2:5" ht="12">
      <c r="B94" s="526" t="s">
        <v>579</v>
      </c>
      <c r="C94" s="527" t="s">
        <v>623</v>
      </c>
      <c r="D94" s="528">
        <v>129161.37</v>
      </c>
    </row>
    <row r="95" spans="2:5" ht="12">
      <c r="B95" s="526" t="s">
        <v>579</v>
      </c>
      <c r="C95" s="527" t="s">
        <v>773</v>
      </c>
      <c r="D95" s="528">
        <v>686.48</v>
      </c>
      <c r="E95" s="423">
        <f>+D95</f>
        <v>686.48</v>
      </c>
    </row>
    <row r="96" spans="2:5" ht="12">
      <c r="B96" s="526" t="s">
        <v>579</v>
      </c>
      <c r="C96" s="527" t="s">
        <v>624</v>
      </c>
      <c r="D96" s="528">
        <v>129847.85</v>
      </c>
    </row>
    <row r="97" spans="2:5" ht="12">
      <c r="B97" s="526" t="s">
        <v>579</v>
      </c>
      <c r="C97" s="527" t="s">
        <v>625</v>
      </c>
      <c r="D97" s="528"/>
    </row>
    <row r="98" spans="2:5" ht="12">
      <c r="B98" s="526" t="s">
        <v>579</v>
      </c>
      <c r="C98" s="527" t="s">
        <v>626</v>
      </c>
      <c r="D98" s="528">
        <v>73406.86</v>
      </c>
    </row>
    <row r="99" spans="2:5" ht="12">
      <c r="B99" s="526" t="s">
        <v>579</v>
      </c>
      <c r="C99" s="527" t="s">
        <v>627</v>
      </c>
      <c r="D99" s="528">
        <v>73406.86</v>
      </c>
    </row>
    <row r="100" spans="2:5" ht="12">
      <c r="B100" s="526" t="s">
        <v>579</v>
      </c>
      <c r="C100" s="527" t="s">
        <v>628</v>
      </c>
      <c r="D100" s="528"/>
    </row>
    <row r="101" spans="2:5" ht="12">
      <c r="B101" s="526" t="s">
        <v>579</v>
      </c>
      <c r="C101" s="527" t="s">
        <v>629</v>
      </c>
      <c r="D101" s="528">
        <v>237164.37</v>
      </c>
      <c r="E101" s="423">
        <f>+D101</f>
        <v>237164.37</v>
      </c>
    </row>
    <row r="102" spans="2:5" ht="12">
      <c r="B102" s="526" t="s">
        <v>579</v>
      </c>
      <c r="C102" s="527" t="s">
        <v>630</v>
      </c>
      <c r="D102" s="528">
        <v>59291.27</v>
      </c>
    </row>
    <row r="103" spans="2:5" ht="12">
      <c r="B103" s="526" t="s">
        <v>579</v>
      </c>
      <c r="C103" s="527" t="s">
        <v>631</v>
      </c>
      <c r="D103" s="528">
        <v>296455.64</v>
      </c>
    </row>
    <row r="104" spans="2:5" ht="12">
      <c r="B104" s="526" t="s">
        <v>579</v>
      </c>
      <c r="C104" s="527" t="s">
        <v>774</v>
      </c>
      <c r="D104" s="528"/>
    </row>
    <row r="105" spans="2:5" ht="12">
      <c r="B105" s="526" t="s">
        <v>579</v>
      </c>
      <c r="C105" s="527" t="s">
        <v>775</v>
      </c>
      <c r="D105" s="528"/>
    </row>
    <row r="106" spans="2:5" ht="12">
      <c r="B106" s="526" t="s">
        <v>579</v>
      </c>
      <c r="C106" s="527" t="s">
        <v>776</v>
      </c>
      <c r="D106" s="528">
        <v>74266.27</v>
      </c>
    </row>
    <row r="107" spans="2:5" ht="12">
      <c r="B107" s="526" t="s">
        <v>579</v>
      </c>
      <c r="C107" s="527" t="s">
        <v>777</v>
      </c>
      <c r="D107" s="528">
        <v>5000</v>
      </c>
    </row>
    <row r="108" spans="2:5" ht="12">
      <c r="B108" s="526" t="s">
        <v>579</v>
      </c>
      <c r="C108" s="527" t="s">
        <v>778</v>
      </c>
      <c r="D108" s="528">
        <v>715.85</v>
      </c>
    </row>
    <row r="109" spans="2:5" ht="12">
      <c r="B109" s="526" t="s">
        <v>579</v>
      </c>
      <c r="C109" s="527" t="s">
        <v>779</v>
      </c>
      <c r="D109" s="528">
        <v>79982.12</v>
      </c>
    </row>
    <row r="110" spans="2:5" ht="12">
      <c r="B110" s="526" t="s">
        <v>579</v>
      </c>
      <c r="C110" s="527" t="s">
        <v>780</v>
      </c>
      <c r="D110" s="528"/>
    </row>
    <row r="111" spans="2:5" ht="12">
      <c r="B111" s="526" t="s">
        <v>579</v>
      </c>
      <c r="C111" s="527" t="s">
        <v>781</v>
      </c>
      <c r="D111" s="528">
        <v>62224.94</v>
      </c>
    </row>
    <row r="112" spans="2:5" ht="12">
      <c r="B112" s="526" t="s">
        <v>579</v>
      </c>
      <c r="C112" s="527" t="s">
        <v>782</v>
      </c>
      <c r="D112" s="528">
        <v>57732.05</v>
      </c>
    </row>
    <row r="113" spans="2:5" ht="12">
      <c r="B113" s="526" t="s">
        <v>579</v>
      </c>
      <c r="C113" s="527" t="s">
        <v>783</v>
      </c>
      <c r="D113" s="528">
        <v>14287.5</v>
      </c>
    </row>
    <row r="114" spans="2:5" ht="12">
      <c r="B114" s="526" t="s">
        <v>579</v>
      </c>
      <c r="C114" s="527" t="s">
        <v>784</v>
      </c>
      <c r="D114" s="528">
        <v>134244.49</v>
      </c>
    </row>
    <row r="115" spans="2:5" ht="12">
      <c r="B115" s="526" t="s">
        <v>579</v>
      </c>
      <c r="C115" s="527" t="s">
        <v>785</v>
      </c>
      <c r="D115" s="528"/>
    </row>
    <row r="116" spans="2:5" ht="12">
      <c r="B116" s="526" t="s">
        <v>579</v>
      </c>
      <c r="C116" s="527" t="s">
        <v>786</v>
      </c>
      <c r="D116" s="528">
        <v>1310.43</v>
      </c>
    </row>
    <row r="117" spans="2:5" ht="12">
      <c r="B117" s="526" t="s">
        <v>579</v>
      </c>
      <c r="C117" s="527" t="s">
        <v>787</v>
      </c>
      <c r="D117" s="528">
        <v>215537.04</v>
      </c>
    </row>
    <row r="118" spans="2:5" ht="12">
      <c r="B118" s="526" t="s">
        <v>579</v>
      </c>
      <c r="C118" s="527" t="s">
        <v>788</v>
      </c>
      <c r="D118" s="528"/>
    </row>
    <row r="119" spans="2:5" ht="12">
      <c r="B119" s="526" t="s">
        <v>579</v>
      </c>
      <c r="C119" s="527" t="s">
        <v>789</v>
      </c>
      <c r="D119" s="528"/>
      <c r="E119" s="423">
        <f>+D119</f>
        <v>0</v>
      </c>
    </row>
    <row r="120" spans="2:5" ht="12">
      <c r="B120" s="526" t="s">
        <v>579</v>
      </c>
      <c r="C120" s="527" t="s">
        <v>632</v>
      </c>
      <c r="D120" s="528">
        <v>29518.43</v>
      </c>
    </row>
    <row r="121" spans="2:5" ht="12">
      <c r="B121" s="526" t="s">
        <v>579</v>
      </c>
      <c r="C121" s="527" t="s">
        <v>153</v>
      </c>
      <c r="D121" s="528"/>
    </row>
    <row r="122" spans="2:5" ht="12">
      <c r="B122" s="526" t="s">
        <v>579</v>
      </c>
      <c r="C122" s="527" t="s">
        <v>129</v>
      </c>
      <c r="D122" s="528">
        <v>53477.4</v>
      </c>
    </row>
    <row r="123" spans="2:5" ht="12">
      <c r="B123" s="526" t="s">
        <v>579</v>
      </c>
      <c r="C123" s="527" t="s">
        <v>153</v>
      </c>
      <c r="D123" s="528">
        <v>4861.05</v>
      </c>
    </row>
    <row r="124" spans="2:5" ht="12">
      <c r="B124" s="526" t="s">
        <v>579</v>
      </c>
      <c r="C124" s="527" t="s">
        <v>790</v>
      </c>
      <c r="D124" s="528">
        <v>58338.45</v>
      </c>
    </row>
    <row r="125" spans="2:5" ht="12">
      <c r="B125" s="526" t="s">
        <v>579</v>
      </c>
      <c r="C125" s="527" t="s">
        <v>633</v>
      </c>
      <c r="D125" s="528">
        <v>1286953.79</v>
      </c>
    </row>
    <row r="126" spans="2:5" ht="12">
      <c r="B126" s="526" t="s">
        <v>579</v>
      </c>
      <c r="C126" s="527" t="s">
        <v>579</v>
      </c>
      <c r="D126" s="528"/>
    </row>
    <row r="127" spans="2:5" ht="12">
      <c r="B127" s="526" t="s">
        <v>579</v>
      </c>
      <c r="C127" s="527" t="s">
        <v>236</v>
      </c>
      <c r="D127" s="528">
        <v>1952521.97</v>
      </c>
    </row>
    <row r="128" spans="2:5" ht="12">
      <c r="B128" s="526" t="s">
        <v>579</v>
      </c>
      <c r="C128" s="527" t="s">
        <v>579</v>
      </c>
      <c r="D128" s="528"/>
    </row>
    <row r="129" spans="2:6" ht="12">
      <c r="B129" s="526" t="s">
        <v>579</v>
      </c>
      <c r="C129" s="527" t="s">
        <v>634</v>
      </c>
      <c r="D129" s="528"/>
    </row>
    <row r="130" spans="2:6" ht="12">
      <c r="B130" s="526" t="s">
        <v>579</v>
      </c>
      <c r="C130" s="527" t="s">
        <v>635</v>
      </c>
      <c r="D130" s="528"/>
    </row>
    <row r="131" spans="2:6" ht="12">
      <c r="B131" s="526" t="s">
        <v>579</v>
      </c>
      <c r="C131" s="527" t="s">
        <v>51</v>
      </c>
      <c r="D131" s="528">
        <v>1098931.67</v>
      </c>
    </row>
    <row r="132" spans="2:6" ht="12">
      <c r="B132" s="526" t="s">
        <v>579</v>
      </c>
      <c r="C132" s="527" t="s">
        <v>53</v>
      </c>
      <c r="D132" s="528">
        <v>84287.5</v>
      </c>
      <c r="E132" s="423">
        <f>SUM(E95:E119)</f>
        <v>237850.85</v>
      </c>
      <c r="F132" s="423" t="s">
        <v>704</v>
      </c>
    </row>
    <row r="133" spans="2:6" ht="12">
      <c r="B133" s="526" t="s">
        <v>579</v>
      </c>
      <c r="C133" s="527" t="s">
        <v>309</v>
      </c>
      <c r="D133" s="528">
        <v>22916.63</v>
      </c>
    </row>
    <row r="134" spans="2:6" ht="12">
      <c r="B134" s="526" t="s">
        <v>579</v>
      </c>
      <c r="C134" s="527" t="s">
        <v>55</v>
      </c>
      <c r="D134" s="528">
        <v>44660</v>
      </c>
    </row>
    <row r="135" spans="2:6" ht="12">
      <c r="B135" s="526" t="s">
        <v>579</v>
      </c>
      <c r="C135" s="527" t="s">
        <v>636</v>
      </c>
      <c r="D135" s="528">
        <v>31183.7</v>
      </c>
    </row>
    <row r="136" spans="2:6" ht="12">
      <c r="B136" s="526" t="s">
        <v>579</v>
      </c>
      <c r="C136" s="527" t="s">
        <v>57</v>
      </c>
      <c r="D136" s="528">
        <v>1697</v>
      </c>
    </row>
    <row r="137" spans="2:6" ht="12">
      <c r="B137" s="526" t="s">
        <v>579</v>
      </c>
      <c r="C137" s="527" t="s">
        <v>56</v>
      </c>
      <c r="D137" s="528">
        <v>17090.400000000001</v>
      </c>
      <c r="E137" s="423">
        <f>+D137/12</f>
        <v>1424.2</v>
      </c>
      <c r="F137" s="423">
        <v>0.1</v>
      </c>
    </row>
    <row r="138" spans="2:6" ht="12">
      <c r="B138" s="526" t="s">
        <v>579</v>
      </c>
      <c r="C138" s="527" t="s">
        <v>58</v>
      </c>
      <c r="D138" s="528">
        <v>606.4</v>
      </c>
      <c r="E138" s="423">
        <f t="shared" ref="E138:E201" si="0">+D138/12</f>
        <v>50.533333333333331</v>
      </c>
    </row>
    <row r="139" spans="2:6" ht="12">
      <c r="B139" s="526" t="s">
        <v>579</v>
      </c>
      <c r="C139" s="527" t="s">
        <v>791</v>
      </c>
      <c r="D139" s="528">
        <v>2943</v>
      </c>
      <c r="E139" s="423">
        <f t="shared" si="0"/>
        <v>245.25</v>
      </c>
    </row>
    <row r="140" spans="2:6" ht="12">
      <c r="B140" s="526" t="s">
        <v>579</v>
      </c>
      <c r="C140" s="527" t="s">
        <v>365</v>
      </c>
      <c r="D140" s="528">
        <v>28811</v>
      </c>
      <c r="E140" s="423">
        <f t="shared" si="0"/>
        <v>2400.9166666666665</v>
      </c>
    </row>
    <row r="141" spans="2:6" ht="12">
      <c r="B141" s="526" t="s">
        <v>579</v>
      </c>
      <c r="C141" s="527" t="s">
        <v>366</v>
      </c>
      <c r="D141" s="528">
        <v>27647</v>
      </c>
      <c r="E141" s="423">
        <f t="shared" ref="E141:E147" si="1">+D141/11</f>
        <v>2513.3636363636365</v>
      </c>
    </row>
    <row r="142" spans="2:6" ht="12">
      <c r="B142" s="526" t="s">
        <v>579</v>
      </c>
      <c r="C142" s="527" t="s">
        <v>637</v>
      </c>
      <c r="D142" s="528">
        <v>1360774.3</v>
      </c>
      <c r="E142" s="423">
        <f t="shared" si="1"/>
        <v>123706.75454545455</v>
      </c>
    </row>
    <row r="143" spans="2:6" ht="12">
      <c r="B143" s="526" t="s">
        <v>579</v>
      </c>
      <c r="C143" s="527" t="s">
        <v>638</v>
      </c>
      <c r="D143" s="528"/>
      <c r="E143" s="423">
        <f t="shared" si="1"/>
        <v>0</v>
      </c>
    </row>
    <row r="144" spans="2:6" ht="12">
      <c r="B144" s="526" t="s">
        <v>579</v>
      </c>
      <c r="C144" s="527" t="s">
        <v>65</v>
      </c>
      <c r="D144" s="528">
        <v>292204</v>
      </c>
      <c r="E144" s="423">
        <f t="shared" si="1"/>
        <v>26564</v>
      </c>
      <c r="F144" s="423">
        <v>1</v>
      </c>
    </row>
    <row r="145" spans="2:6" ht="12">
      <c r="B145" s="526" t="s">
        <v>579</v>
      </c>
      <c r="C145" s="527" t="s">
        <v>66</v>
      </c>
      <c r="D145" s="528">
        <v>16647.3</v>
      </c>
      <c r="E145" s="423">
        <f t="shared" si="1"/>
        <v>1513.390909090909</v>
      </c>
      <c r="F145" s="423">
        <v>0.25</v>
      </c>
    </row>
    <row r="146" spans="2:6" ht="12">
      <c r="B146" s="526" t="s">
        <v>579</v>
      </c>
      <c r="C146" s="527" t="s">
        <v>67</v>
      </c>
      <c r="D146" s="528">
        <v>88312.44</v>
      </c>
      <c r="E146" s="423">
        <f t="shared" si="1"/>
        <v>8028.4036363636369</v>
      </c>
      <c r="F146" s="423">
        <v>0.25</v>
      </c>
    </row>
    <row r="147" spans="2:6" ht="12">
      <c r="B147" s="526" t="s">
        <v>579</v>
      </c>
      <c r="C147" s="527" t="s">
        <v>68</v>
      </c>
      <c r="D147" s="528">
        <v>4337</v>
      </c>
      <c r="E147" s="423">
        <f t="shared" si="1"/>
        <v>394.27272727272725</v>
      </c>
    </row>
    <row r="148" spans="2:6" ht="12">
      <c r="B148" s="526" t="s">
        <v>579</v>
      </c>
      <c r="C148" s="527" t="s">
        <v>69</v>
      </c>
      <c r="D148" s="528">
        <v>2618</v>
      </c>
      <c r="E148" s="423">
        <f t="shared" si="0"/>
        <v>218.16666666666666</v>
      </c>
    </row>
    <row r="149" spans="2:6" ht="12">
      <c r="B149" s="526" t="s">
        <v>579</v>
      </c>
      <c r="C149" s="527" t="s">
        <v>70</v>
      </c>
      <c r="D149" s="528">
        <v>6704.52</v>
      </c>
      <c r="E149" s="423">
        <f t="shared" si="0"/>
        <v>558.71</v>
      </c>
    </row>
    <row r="150" spans="2:6" ht="12">
      <c r="B150" s="526" t="s">
        <v>579</v>
      </c>
      <c r="C150" s="527" t="s">
        <v>639</v>
      </c>
      <c r="D150" s="528">
        <v>5491</v>
      </c>
      <c r="E150" s="423">
        <f t="shared" si="0"/>
        <v>457.58333333333331</v>
      </c>
    </row>
    <row r="151" spans="2:6" ht="12">
      <c r="B151" s="526" t="s">
        <v>579</v>
      </c>
      <c r="C151" s="527" t="s">
        <v>71</v>
      </c>
      <c r="D151" s="528">
        <v>25426</v>
      </c>
      <c r="E151" s="423">
        <f t="shared" si="0"/>
        <v>2118.8333333333335</v>
      </c>
      <c r="F151" s="423">
        <v>0.05</v>
      </c>
    </row>
    <row r="152" spans="2:6" ht="12">
      <c r="B152" s="526" t="s">
        <v>579</v>
      </c>
      <c r="C152" s="527" t="s">
        <v>72</v>
      </c>
      <c r="D152" s="528">
        <v>8747.2000000000007</v>
      </c>
      <c r="E152" s="423">
        <f t="shared" si="0"/>
        <v>728.93333333333339</v>
      </c>
      <c r="F152" s="423">
        <v>0.1</v>
      </c>
    </row>
    <row r="153" spans="2:6" ht="12">
      <c r="B153" s="526" t="s">
        <v>579</v>
      </c>
      <c r="C153" s="527" t="s">
        <v>640</v>
      </c>
      <c r="D153" s="528">
        <v>1120</v>
      </c>
      <c r="E153" s="423">
        <f t="shared" si="0"/>
        <v>93.333333333333329</v>
      </c>
      <c r="F153" s="423">
        <v>0.05</v>
      </c>
    </row>
    <row r="154" spans="2:6" ht="12">
      <c r="B154" s="526" t="s">
        <v>579</v>
      </c>
      <c r="C154" s="527" t="s">
        <v>73</v>
      </c>
      <c r="D154" s="528">
        <v>4121.33</v>
      </c>
      <c r="E154" s="423">
        <f t="shared" si="0"/>
        <v>343.44416666666666</v>
      </c>
    </row>
    <row r="155" spans="2:6" ht="12">
      <c r="B155" s="526" t="s">
        <v>579</v>
      </c>
      <c r="C155" s="527" t="s">
        <v>374</v>
      </c>
      <c r="D155" s="528">
        <v>13704</v>
      </c>
      <c r="E155" s="423">
        <f t="shared" si="0"/>
        <v>1142</v>
      </c>
      <c r="F155" s="423">
        <v>0.05</v>
      </c>
    </row>
    <row r="156" spans="2:6" ht="12">
      <c r="B156" s="526" t="s">
        <v>579</v>
      </c>
      <c r="C156" s="527" t="s">
        <v>641</v>
      </c>
      <c r="D156" s="528">
        <v>110000</v>
      </c>
      <c r="E156" s="423">
        <f t="shared" si="0"/>
        <v>9166.6666666666661</v>
      </c>
      <c r="F156" s="423">
        <v>0.1</v>
      </c>
    </row>
    <row r="157" spans="2:6" ht="12">
      <c r="B157" s="526" t="s">
        <v>579</v>
      </c>
      <c r="C157" s="527" t="s">
        <v>80</v>
      </c>
      <c r="D157" s="528">
        <v>47</v>
      </c>
      <c r="E157" s="423">
        <f t="shared" si="0"/>
        <v>3.9166666666666665</v>
      </c>
      <c r="F157" s="423">
        <v>0.1</v>
      </c>
    </row>
    <row r="158" spans="2:6" ht="12">
      <c r="B158" s="526" t="s">
        <v>579</v>
      </c>
      <c r="C158" s="527" t="s">
        <v>79</v>
      </c>
      <c r="D158" s="528">
        <v>6216</v>
      </c>
      <c r="E158" s="423">
        <f t="shared" si="0"/>
        <v>518</v>
      </c>
      <c r="F158" s="423">
        <v>0.1</v>
      </c>
    </row>
    <row r="159" spans="2:6" ht="12">
      <c r="B159" s="526" t="s">
        <v>579</v>
      </c>
      <c r="C159" s="527" t="s">
        <v>642</v>
      </c>
      <c r="D159" s="528">
        <v>10839.5</v>
      </c>
      <c r="E159" s="423">
        <f t="shared" si="0"/>
        <v>903.29166666666663</v>
      </c>
      <c r="F159" s="423">
        <v>0.05</v>
      </c>
    </row>
    <row r="160" spans="2:6" ht="12">
      <c r="B160" s="526" t="s">
        <v>579</v>
      </c>
      <c r="C160" s="527" t="s">
        <v>82</v>
      </c>
      <c r="D160" s="528">
        <v>14498</v>
      </c>
      <c r="E160" s="423">
        <f t="shared" si="0"/>
        <v>1208.1666666666667</v>
      </c>
      <c r="F160" s="423">
        <v>0.05</v>
      </c>
    </row>
    <row r="161" spans="2:6" ht="12">
      <c r="B161" s="526" t="s">
        <v>579</v>
      </c>
      <c r="C161" s="527" t="s">
        <v>381</v>
      </c>
      <c r="D161" s="528">
        <v>4000</v>
      </c>
      <c r="E161" s="423">
        <f t="shared" si="0"/>
        <v>333.33333333333331</v>
      </c>
    </row>
    <row r="162" spans="2:6" ht="12">
      <c r="B162" s="526" t="s">
        <v>579</v>
      </c>
      <c r="C162" s="527" t="s">
        <v>382</v>
      </c>
      <c r="D162" s="528">
        <v>20919.95</v>
      </c>
      <c r="E162" s="423">
        <f t="shared" si="0"/>
        <v>1743.3291666666667</v>
      </c>
    </row>
    <row r="163" spans="2:6" ht="12">
      <c r="B163" s="526" t="s">
        <v>579</v>
      </c>
      <c r="C163" s="527" t="s">
        <v>643</v>
      </c>
      <c r="D163" s="528">
        <v>635953.24</v>
      </c>
      <c r="E163" s="423">
        <f t="shared" si="0"/>
        <v>52996.103333333333</v>
      </c>
    </row>
    <row r="164" spans="2:6" ht="12">
      <c r="B164" s="526" t="s">
        <v>579</v>
      </c>
      <c r="C164" s="527" t="s">
        <v>644</v>
      </c>
      <c r="D164" s="528"/>
      <c r="E164" s="423">
        <f t="shared" si="0"/>
        <v>0</v>
      </c>
      <c r="F164" s="423">
        <v>0.05</v>
      </c>
    </row>
    <row r="165" spans="2:6" ht="12">
      <c r="B165" s="526" t="s">
        <v>579</v>
      </c>
      <c r="C165" s="527" t="s">
        <v>86</v>
      </c>
      <c r="D165" s="528">
        <v>4125.1000000000004</v>
      </c>
      <c r="E165" s="423">
        <f t="shared" si="0"/>
        <v>343.75833333333338</v>
      </c>
    </row>
    <row r="166" spans="2:6" ht="12">
      <c r="B166" s="526" t="s">
        <v>579</v>
      </c>
      <c r="C166" s="527" t="s">
        <v>85</v>
      </c>
      <c r="D166" s="528">
        <v>5113</v>
      </c>
      <c r="E166" s="423">
        <f t="shared" si="0"/>
        <v>426.08333333333331</v>
      </c>
      <c r="F166" s="423">
        <v>0.05</v>
      </c>
    </row>
    <row r="167" spans="2:6" ht="12">
      <c r="B167" s="526" t="s">
        <v>579</v>
      </c>
      <c r="C167" s="527" t="s">
        <v>645</v>
      </c>
      <c r="D167" s="528">
        <v>9238.1</v>
      </c>
      <c r="E167" s="423">
        <f t="shared" si="0"/>
        <v>769.8416666666667</v>
      </c>
      <c r="F167" s="423">
        <v>0.05</v>
      </c>
    </row>
    <row r="168" spans="2:6" ht="12">
      <c r="B168" s="526" t="s">
        <v>579</v>
      </c>
      <c r="C168" s="527" t="s">
        <v>646</v>
      </c>
      <c r="D168" s="528"/>
      <c r="E168" s="423">
        <f t="shared" si="0"/>
        <v>0</v>
      </c>
    </row>
    <row r="169" spans="2:6" ht="12">
      <c r="B169" s="526" t="s">
        <v>579</v>
      </c>
      <c r="C169" s="527" t="s">
        <v>88</v>
      </c>
      <c r="D169" s="528">
        <v>9163</v>
      </c>
      <c r="E169" s="423">
        <f t="shared" si="0"/>
        <v>763.58333333333337</v>
      </c>
    </row>
    <row r="170" spans="2:6" ht="12">
      <c r="B170" s="526" t="s">
        <v>579</v>
      </c>
      <c r="C170" s="527" t="s">
        <v>186</v>
      </c>
      <c r="D170" s="528">
        <v>22000</v>
      </c>
      <c r="E170" s="423">
        <f t="shared" si="0"/>
        <v>1833.3333333333333</v>
      </c>
    </row>
    <row r="171" spans="2:6" ht="12">
      <c r="B171" s="526" t="s">
        <v>579</v>
      </c>
      <c r="C171" s="527" t="s">
        <v>647</v>
      </c>
      <c r="D171" s="528">
        <v>31163</v>
      </c>
      <c r="E171" s="423">
        <f t="shared" si="0"/>
        <v>2596.9166666666665</v>
      </c>
    </row>
    <row r="172" spans="2:6" ht="12">
      <c r="B172" s="526" t="s">
        <v>579</v>
      </c>
      <c r="C172" s="527" t="s">
        <v>648</v>
      </c>
      <c r="D172" s="528"/>
      <c r="E172" s="423">
        <f t="shared" si="0"/>
        <v>0</v>
      </c>
    </row>
    <row r="173" spans="2:6" ht="12">
      <c r="B173" s="526" t="s">
        <v>579</v>
      </c>
      <c r="C173" s="527" t="s">
        <v>92</v>
      </c>
      <c r="D173" s="528">
        <v>4248.75</v>
      </c>
      <c r="E173" s="423">
        <f t="shared" si="0"/>
        <v>354.0625</v>
      </c>
      <c r="F173" s="423">
        <v>0.05</v>
      </c>
    </row>
    <row r="174" spans="2:6" ht="12">
      <c r="B174" s="526" t="s">
        <v>579</v>
      </c>
      <c r="C174" s="527" t="s">
        <v>91</v>
      </c>
      <c r="D174" s="528">
        <v>1023</v>
      </c>
      <c r="E174" s="423">
        <f t="shared" si="0"/>
        <v>85.25</v>
      </c>
      <c r="F174" s="423">
        <v>0.05</v>
      </c>
    </row>
    <row r="175" spans="2:6" ht="12">
      <c r="B175" s="526" t="s">
        <v>579</v>
      </c>
      <c r="C175" s="527" t="s">
        <v>649</v>
      </c>
      <c r="D175" s="528">
        <v>5271.75</v>
      </c>
      <c r="E175" s="423">
        <f t="shared" si="0"/>
        <v>439.3125</v>
      </c>
    </row>
    <row r="176" spans="2:6" ht="12">
      <c r="B176" s="526" t="s">
        <v>579</v>
      </c>
      <c r="C176" s="527" t="s">
        <v>650</v>
      </c>
      <c r="D176" s="528"/>
      <c r="E176" s="423">
        <f t="shared" si="0"/>
        <v>0</v>
      </c>
    </row>
    <row r="177" spans="2:6" ht="12">
      <c r="B177" s="526" t="s">
        <v>579</v>
      </c>
      <c r="C177" s="527" t="s">
        <v>95</v>
      </c>
      <c r="D177" s="528">
        <v>80522.33</v>
      </c>
      <c r="E177" s="423">
        <f t="shared" si="0"/>
        <v>6710.1941666666671</v>
      </c>
    </row>
    <row r="178" spans="2:6" ht="12">
      <c r="B178" s="526" t="s">
        <v>579</v>
      </c>
      <c r="C178" s="527" t="s">
        <v>96</v>
      </c>
      <c r="D178" s="528">
        <v>44765.5</v>
      </c>
      <c r="E178" s="423">
        <f t="shared" si="0"/>
        <v>3730.4583333333335</v>
      </c>
    </row>
    <row r="179" spans="2:6" ht="12">
      <c r="B179" s="526" t="s">
        <v>579</v>
      </c>
      <c r="C179" s="527" t="s">
        <v>187</v>
      </c>
      <c r="D179" s="528">
        <v>7942</v>
      </c>
      <c r="E179" s="423">
        <f t="shared" si="0"/>
        <v>661.83333333333337</v>
      </c>
    </row>
    <row r="180" spans="2:6" ht="12">
      <c r="B180" s="526" t="s">
        <v>579</v>
      </c>
      <c r="C180" s="527" t="s">
        <v>651</v>
      </c>
      <c r="D180" s="528">
        <v>133229.82999999999</v>
      </c>
      <c r="E180" s="423">
        <f t="shared" si="0"/>
        <v>11102.485833333332</v>
      </c>
    </row>
    <row r="181" spans="2:6" ht="12">
      <c r="B181" s="526" t="s">
        <v>579</v>
      </c>
      <c r="C181" s="527" t="s">
        <v>792</v>
      </c>
      <c r="D181" s="528"/>
      <c r="E181" s="423">
        <f t="shared" si="0"/>
        <v>0</v>
      </c>
    </row>
    <row r="182" spans="2:6" ht="12">
      <c r="B182" s="526" t="s">
        <v>579</v>
      </c>
      <c r="C182" s="527" t="s">
        <v>793</v>
      </c>
      <c r="D182" s="528">
        <v>3657</v>
      </c>
      <c r="E182" s="423">
        <f t="shared" si="0"/>
        <v>304.75</v>
      </c>
    </row>
    <row r="183" spans="2:6" ht="12">
      <c r="B183" s="526" t="s">
        <v>579</v>
      </c>
      <c r="C183" s="527" t="s">
        <v>794</v>
      </c>
      <c r="D183" s="528">
        <v>3657</v>
      </c>
      <c r="E183" s="423">
        <f t="shared" si="0"/>
        <v>304.75</v>
      </c>
    </row>
    <row r="184" spans="2:6" ht="12">
      <c r="B184" s="526" t="s">
        <v>579</v>
      </c>
      <c r="C184" s="527" t="s">
        <v>795</v>
      </c>
      <c r="D184" s="528">
        <v>1446.4</v>
      </c>
      <c r="E184" s="423">
        <f t="shared" si="0"/>
        <v>120.53333333333335</v>
      </c>
    </row>
    <row r="185" spans="2:6" ht="12">
      <c r="B185" s="526" t="s">
        <v>579</v>
      </c>
      <c r="C185" s="527" t="s">
        <v>652</v>
      </c>
      <c r="D185" s="528">
        <v>2180733.62</v>
      </c>
      <c r="E185" s="423">
        <f t="shared" si="0"/>
        <v>181727.80166666667</v>
      </c>
    </row>
    <row r="186" spans="2:6" ht="12">
      <c r="B186" s="526" t="s">
        <v>579</v>
      </c>
      <c r="C186" s="527" t="s">
        <v>579</v>
      </c>
      <c r="D186" s="528"/>
      <c r="E186" s="423">
        <f t="shared" si="0"/>
        <v>0</v>
      </c>
      <c r="F186" s="423">
        <v>0.05</v>
      </c>
    </row>
    <row r="187" spans="2:6" ht="12">
      <c r="B187" s="526" t="s">
        <v>579</v>
      </c>
      <c r="C187" s="527" t="s">
        <v>653</v>
      </c>
      <c r="D187" s="528">
        <v>-228211.65</v>
      </c>
      <c r="E187" s="423">
        <f t="shared" si="0"/>
        <v>-19017.637500000001</v>
      </c>
      <c r="F187" s="423">
        <v>0.25</v>
      </c>
    </row>
    <row r="188" spans="2:6" ht="12">
      <c r="B188" s="526" t="s">
        <v>579</v>
      </c>
      <c r="C188" s="527" t="s">
        <v>579</v>
      </c>
      <c r="D188" s="528"/>
      <c r="E188" s="423">
        <f t="shared" si="0"/>
        <v>0</v>
      </c>
      <c r="F188" s="423">
        <v>0.05</v>
      </c>
    </row>
    <row r="189" spans="2:6" ht="12">
      <c r="B189" s="526" t="s">
        <v>579</v>
      </c>
      <c r="C189" s="527" t="s">
        <v>654</v>
      </c>
      <c r="D189" s="528"/>
      <c r="E189" s="423">
        <f t="shared" si="0"/>
        <v>0</v>
      </c>
    </row>
    <row r="190" spans="2:6" ht="12">
      <c r="B190" s="526" t="s">
        <v>579</v>
      </c>
      <c r="C190" s="527" t="s">
        <v>101</v>
      </c>
      <c r="D190" s="528">
        <v>201.72</v>
      </c>
      <c r="E190" s="423">
        <f t="shared" si="0"/>
        <v>16.809999999999999</v>
      </c>
    </row>
    <row r="191" spans="2:6" ht="12">
      <c r="B191" s="526" t="s">
        <v>579</v>
      </c>
      <c r="C191" s="527" t="s">
        <v>796</v>
      </c>
      <c r="D191" s="528">
        <v>270</v>
      </c>
      <c r="E191" s="423">
        <f t="shared" si="0"/>
        <v>22.5</v>
      </c>
    </row>
    <row r="192" spans="2:6" ht="12">
      <c r="B192" s="526" t="s">
        <v>579</v>
      </c>
      <c r="C192" s="527" t="s">
        <v>655</v>
      </c>
      <c r="D192" s="528">
        <v>471.72</v>
      </c>
      <c r="E192" s="423">
        <f t="shared" si="0"/>
        <v>39.31</v>
      </c>
    </row>
    <row r="193" spans="2:5" ht="12">
      <c r="B193" s="526" t="s">
        <v>579</v>
      </c>
      <c r="C193" s="527" t="s">
        <v>579</v>
      </c>
      <c r="D193" s="528"/>
      <c r="E193" s="423">
        <f t="shared" si="0"/>
        <v>0</v>
      </c>
    </row>
    <row r="194" spans="2:5" ht="12">
      <c r="B194" s="526" t="s">
        <v>579</v>
      </c>
      <c r="C194" s="527" t="s">
        <v>656</v>
      </c>
      <c r="D194" s="528"/>
      <c r="E194" s="423">
        <f t="shared" si="0"/>
        <v>0</v>
      </c>
    </row>
    <row r="195" spans="2:5" ht="12">
      <c r="B195" s="526" t="s">
        <v>579</v>
      </c>
      <c r="C195" s="527" t="s">
        <v>657</v>
      </c>
      <c r="D195" s="528"/>
      <c r="E195" s="423">
        <f t="shared" si="0"/>
        <v>0</v>
      </c>
    </row>
    <row r="196" spans="2:5" ht="12">
      <c r="B196" s="526" t="s">
        <v>579</v>
      </c>
      <c r="C196" s="527" t="s">
        <v>100</v>
      </c>
      <c r="D196" s="528">
        <v>4056.45</v>
      </c>
      <c r="E196" s="423">
        <f t="shared" si="0"/>
        <v>338.03749999999997</v>
      </c>
    </row>
    <row r="197" spans="2:5" ht="12">
      <c r="B197" s="526" t="s">
        <v>579</v>
      </c>
      <c r="C197" s="527" t="s">
        <v>101</v>
      </c>
      <c r="D197" s="528">
        <v>968.03</v>
      </c>
      <c r="E197" s="423">
        <f t="shared" si="0"/>
        <v>80.669166666666669</v>
      </c>
    </row>
    <row r="198" spans="2:5" ht="12">
      <c r="B198" s="526" t="s">
        <v>579</v>
      </c>
      <c r="C198" s="527" t="s">
        <v>658</v>
      </c>
      <c r="D198" s="528">
        <v>1470.5</v>
      </c>
      <c r="E198" s="423">
        <f t="shared" si="0"/>
        <v>122.54166666666667</v>
      </c>
    </row>
    <row r="199" spans="2:5" ht="12">
      <c r="B199" s="526" t="s">
        <v>579</v>
      </c>
      <c r="C199" s="527" t="s">
        <v>659</v>
      </c>
      <c r="D199" s="528">
        <v>305.95999999999998</v>
      </c>
      <c r="E199" s="423">
        <f t="shared" si="0"/>
        <v>25.496666666666666</v>
      </c>
    </row>
    <row r="200" spans="2:5" ht="12">
      <c r="B200" s="526" t="s">
        <v>579</v>
      </c>
      <c r="C200" s="527" t="s">
        <v>660</v>
      </c>
      <c r="D200" s="528">
        <v>6800.94</v>
      </c>
      <c r="E200" s="423">
        <f t="shared" si="0"/>
        <v>566.745</v>
      </c>
    </row>
    <row r="201" spans="2:5" ht="12">
      <c r="B201" s="526" t="s">
        <v>579</v>
      </c>
      <c r="C201" s="527" t="s">
        <v>661</v>
      </c>
      <c r="D201" s="528"/>
      <c r="E201" s="423">
        <f t="shared" si="0"/>
        <v>0</v>
      </c>
    </row>
    <row r="202" spans="2:5" ht="12">
      <c r="B202" s="526" t="s">
        <v>579</v>
      </c>
      <c r="C202" s="527" t="s">
        <v>662</v>
      </c>
      <c r="D202" s="528"/>
      <c r="E202" s="423">
        <f t="shared" ref="E202:E226" si="2">+D202/12</f>
        <v>0</v>
      </c>
    </row>
    <row r="203" spans="2:5" ht="12">
      <c r="B203" s="526" t="s">
        <v>579</v>
      </c>
      <c r="C203" s="527" t="s">
        <v>663</v>
      </c>
      <c r="D203" s="528">
        <v>22946</v>
      </c>
      <c r="E203" s="423">
        <f t="shared" si="2"/>
        <v>1912.1666666666667</v>
      </c>
    </row>
    <row r="204" spans="2:5" ht="12">
      <c r="B204" s="526" t="s">
        <v>579</v>
      </c>
      <c r="C204" s="527" t="s">
        <v>664</v>
      </c>
      <c r="D204" s="528">
        <v>90112</v>
      </c>
      <c r="E204" s="423">
        <f t="shared" si="2"/>
        <v>7509.333333333333</v>
      </c>
    </row>
    <row r="205" spans="2:5" ht="12">
      <c r="B205" s="526" t="s">
        <v>579</v>
      </c>
      <c r="C205" s="527" t="s">
        <v>665</v>
      </c>
      <c r="D205" s="528">
        <v>113058</v>
      </c>
      <c r="E205" s="423">
        <f t="shared" si="2"/>
        <v>9421.5</v>
      </c>
    </row>
    <row r="206" spans="2:5" ht="12">
      <c r="B206" s="526" t="s">
        <v>579</v>
      </c>
      <c r="C206" s="527" t="s">
        <v>666</v>
      </c>
      <c r="D206" s="528"/>
      <c r="E206" s="423">
        <f t="shared" si="2"/>
        <v>0</v>
      </c>
    </row>
    <row r="207" spans="2:5" ht="12">
      <c r="B207" s="526" t="s">
        <v>579</v>
      </c>
      <c r="C207" s="527" t="s">
        <v>667</v>
      </c>
      <c r="D207" s="528">
        <v>113443</v>
      </c>
      <c r="E207" s="423">
        <f t="shared" si="2"/>
        <v>9453.5833333333339</v>
      </c>
    </row>
    <row r="208" spans="2:5" ht="12">
      <c r="B208" s="526" t="s">
        <v>579</v>
      </c>
      <c r="C208" s="527" t="s">
        <v>668</v>
      </c>
      <c r="D208" s="528">
        <v>2750</v>
      </c>
      <c r="E208" s="423">
        <f t="shared" si="2"/>
        <v>229.16666666666666</v>
      </c>
    </row>
    <row r="209" spans="2:5" ht="12">
      <c r="B209" s="526" t="s">
        <v>579</v>
      </c>
      <c r="C209" s="527" t="s">
        <v>669</v>
      </c>
      <c r="D209" s="528">
        <v>924</v>
      </c>
      <c r="E209" s="423">
        <f t="shared" si="2"/>
        <v>77</v>
      </c>
    </row>
    <row r="210" spans="2:5" ht="12">
      <c r="B210" s="526" t="s">
        <v>579</v>
      </c>
      <c r="C210" s="527" t="s">
        <v>670</v>
      </c>
      <c r="D210" s="528">
        <v>4488</v>
      </c>
      <c r="E210" s="423">
        <f t="shared" si="2"/>
        <v>374</v>
      </c>
    </row>
    <row r="211" spans="2:5" ht="12">
      <c r="B211" s="526" t="s">
        <v>579</v>
      </c>
      <c r="C211" s="527" t="s">
        <v>671</v>
      </c>
      <c r="D211" s="528">
        <v>35101</v>
      </c>
      <c r="E211" s="423">
        <f t="shared" si="2"/>
        <v>2925.0833333333335</v>
      </c>
    </row>
    <row r="212" spans="2:5" ht="12">
      <c r="B212" s="526" t="s">
        <v>579</v>
      </c>
      <c r="C212" s="527" t="s">
        <v>672</v>
      </c>
      <c r="D212" s="528">
        <v>156706</v>
      </c>
      <c r="E212" s="423">
        <f t="shared" si="2"/>
        <v>13058.833333333334</v>
      </c>
    </row>
    <row r="213" spans="2:5" ht="12">
      <c r="B213" s="526" t="s">
        <v>579</v>
      </c>
      <c r="C213" s="527" t="s">
        <v>673</v>
      </c>
      <c r="D213" s="528"/>
      <c r="E213" s="423">
        <f t="shared" si="2"/>
        <v>0</v>
      </c>
    </row>
    <row r="214" spans="2:5" ht="12">
      <c r="B214" s="526" t="s">
        <v>579</v>
      </c>
      <c r="C214" s="527" t="s">
        <v>797</v>
      </c>
      <c r="D214" s="528">
        <v>634.38</v>
      </c>
      <c r="E214" s="423">
        <f t="shared" si="2"/>
        <v>52.865000000000002</v>
      </c>
    </row>
    <row r="215" spans="2:5" ht="12">
      <c r="B215" s="526" t="s">
        <v>579</v>
      </c>
      <c r="C215" s="527" t="s">
        <v>674</v>
      </c>
      <c r="D215" s="528">
        <v>634.38</v>
      </c>
      <c r="E215" s="423">
        <f t="shared" si="2"/>
        <v>52.865000000000002</v>
      </c>
    </row>
    <row r="216" spans="2:5" ht="12">
      <c r="B216" s="526" t="s">
        <v>579</v>
      </c>
      <c r="C216" s="527" t="s">
        <v>675</v>
      </c>
      <c r="D216" s="528">
        <v>270398.38</v>
      </c>
      <c r="E216" s="423">
        <f t="shared" si="2"/>
        <v>22533.198333333334</v>
      </c>
    </row>
    <row r="217" spans="2:5" ht="12">
      <c r="B217" s="526" t="s">
        <v>579</v>
      </c>
      <c r="C217" s="527" t="s">
        <v>676</v>
      </c>
      <c r="D217" s="528"/>
      <c r="E217" s="423">
        <f t="shared" si="2"/>
        <v>0</v>
      </c>
    </row>
    <row r="218" spans="2:5" ht="12">
      <c r="B218" s="526" t="s">
        <v>579</v>
      </c>
      <c r="C218" s="527" t="s">
        <v>677</v>
      </c>
      <c r="D218" s="528">
        <v>16830</v>
      </c>
      <c r="E218" s="423">
        <f t="shared" si="2"/>
        <v>1402.5</v>
      </c>
    </row>
    <row r="219" spans="2:5" ht="12">
      <c r="B219" s="526" t="s">
        <v>579</v>
      </c>
      <c r="C219" s="527" t="s">
        <v>678</v>
      </c>
      <c r="D219" s="528">
        <v>16830</v>
      </c>
      <c r="E219" s="423">
        <f t="shared" si="2"/>
        <v>1402.5</v>
      </c>
    </row>
    <row r="220" spans="2:5" ht="12">
      <c r="B220" s="526" t="s">
        <v>579</v>
      </c>
      <c r="C220" s="527" t="s">
        <v>679</v>
      </c>
      <c r="D220" s="528">
        <v>294029.32</v>
      </c>
      <c r="E220" s="423">
        <f t="shared" si="2"/>
        <v>24502.443333333333</v>
      </c>
    </row>
    <row r="221" spans="2:5" ht="12">
      <c r="B221" s="526" t="s">
        <v>579</v>
      </c>
      <c r="C221" s="527" t="s">
        <v>579</v>
      </c>
      <c r="D221" s="528"/>
      <c r="E221" s="423">
        <f t="shared" si="2"/>
        <v>0</v>
      </c>
    </row>
    <row r="222" spans="2:5" ht="12">
      <c r="B222" s="526" t="s">
        <v>579</v>
      </c>
      <c r="C222" s="527" t="s">
        <v>680</v>
      </c>
      <c r="D222" s="528">
        <v>-521769.25</v>
      </c>
      <c r="E222" s="423">
        <f t="shared" si="2"/>
        <v>-43480.770833333336</v>
      </c>
    </row>
    <row r="223" spans="2:5" ht="12">
      <c r="B223" s="526" t="s">
        <v>579</v>
      </c>
      <c r="C223" s="527" t="s">
        <v>579</v>
      </c>
      <c r="D223" s="528"/>
      <c r="E223" s="423">
        <f t="shared" si="2"/>
        <v>0</v>
      </c>
    </row>
    <row r="224" spans="2:5" ht="12" thickBot="1">
      <c r="B224" s="529"/>
      <c r="C224" s="530"/>
      <c r="D224" s="531"/>
      <c r="E224" s="423">
        <f t="shared" si="2"/>
        <v>0</v>
      </c>
    </row>
    <row r="225" spans="2:5" ht="12.75" thickTop="1">
      <c r="B225" s="430"/>
      <c r="C225" s="431"/>
      <c r="D225" s="432"/>
      <c r="E225" s="423">
        <f t="shared" si="2"/>
        <v>0</v>
      </c>
    </row>
    <row r="226" spans="2:5" ht="12">
      <c r="B226" s="430"/>
      <c r="C226" s="431"/>
      <c r="D226" s="432"/>
      <c r="E226" s="423">
        <f t="shared" si="2"/>
        <v>0</v>
      </c>
    </row>
    <row r="227" spans="2:5" ht="12">
      <c r="B227" s="430"/>
      <c r="C227" s="431"/>
      <c r="D227" s="432"/>
    </row>
    <row r="228" spans="2:5" ht="12">
      <c r="B228" s="430"/>
      <c r="C228" s="431"/>
      <c r="D228" s="432"/>
    </row>
    <row r="229" spans="2:5" ht="12">
      <c r="B229" s="430"/>
      <c r="C229" s="431"/>
      <c r="D229" s="432"/>
    </row>
    <row r="230" spans="2:5" ht="12" thickBot="1">
      <c r="B230" s="437"/>
      <c r="C230" s="438"/>
      <c r="D230" s="439"/>
    </row>
    <row r="231" spans="2:5" ht="12" thickTop="1"/>
    <row r="233" spans="2:5" ht="12.75">
      <c r="B233" s="441"/>
      <c r="C233" s="441"/>
    </row>
    <row r="234" spans="2:5" ht="12.75">
      <c r="B234" s="441"/>
      <c r="C234" s="441"/>
    </row>
    <row r="235" spans="2:5" ht="12.75">
      <c r="B235" s="441"/>
      <c r="C235" s="441"/>
    </row>
    <row r="236" spans="2:5" ht="12.75">
      <c r="B236" s="441"/>
      <c r="C236" s="441"/>
    </row>
    <row r="237" spans="2:5" ht="12.75">
      <c r="B237" s="441"/>
      <c r="C237" s="441"/>
    </row>
    <row r="238" spans="2:5" ht="12.75">
      <c r="B238" s="441"/>
      <c r="C238" s="441"/>
    </row>
    <row r="239" spans="2:5" ht="12.75">
      <c r="B239" s="441"/>
      <c r="C239" s="441"/>
    </row>
    <row r="240" spans="2:5" ht="12.75">
      <c r="B240" s="441"/>
      <c r="C240" s="441"/>
    </row>
  </sheetData>
  <phoneticPr fontId="0" type="noConversion"/>
  <pageMargins left="0.75" right="0.75" top="1" bottom="1" header="0.5" footer="0.5"/>
  <headerFooter alignWithMargins="0"/>
  <rowBreaks count="2" manualBreakCount="2">
    <brk id="164" max="5" man="1"/>
    <brk id="22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3"/>
  <dimension ref="A1:R112"/>
  <sheetViews>
    <sheetView showZeros="0" workbookViewId="0">
      <pane xSplit="1" ySplit="1" topLeftCell="K28" activePane="bottomRight" state="frozen"/>
      <selection pane="topRight" activeCell="B1" sqref="B1"/>
      <selection pane="bottomLeft" activeCell="A2" sqref="A2"/>
      <selection pane="bottomRight" activeCell="N43" sqref="N43"/>
    </sheetView>
  </sheetViews>
  <sheetFormatPr defaultRowHeight="12.75"/>
  <cols>
    <col min="1" max="1" width="26.5703125" customWidth="1"/>
    <col min="2" max="2" width="10.85546875" customWidth="1"/>
    <col min="3" max="3" width="6.42578125" customWidth="1"/>
    <col min="4" max="4" width="10.5703125" customWidth="1"/>
    <col min="5" max="5" width="6.140625" customWidth="1"/>
    <col min="6" max="6" width="10.7109375" customWidth="1"/>
    <col min="7" max="7" width="6.7109375" customWidth="1"/>
    <col min="8" max="8" width="11" customWidth="1"/>
    <col min="9" max="9" width="6.140625" customWidth="1"/>
    <col min="10" max="10" width="11" customWidth="1"/>
    <col min="11" max="11" width="5.85546875" style="189" customWidth="1"/>
    <col min="12" max="12" width="11.28515625" style="189" customWidth="1"/>
    <col min="13" max="13" width="6.7109375" style="189" customWidth="1"/>
    <col min="14" max="14" width="11.28515625" customWidth="1"/>
    <col min="15" max="15" width="12" customWidth="1"/>
    <col min="16" max="16" width="11.7109375" hidden="1" customWidth="1"/>
    <col min="17" max="17" width="7.85546875" hidden="1" customWidth="1"/>
  </cols>
  <sheetData>
    <row r="1" spans="1:18">
      <c r="A1" s="1"/>
      <c r="B1" s="613" t="s">
        <v>0</v>
      </c>
      <c r="C1" s="614"/>
      <c r="D1" s="614"/>
      <c r="E1" s="614"/>
      <c r="F1" s="614"/>
      <c r="G1" s="615"/>
      <c r="H1" s="613" t="s">
        <v>1</v>
      </c>
      <c r="I1" s="615"/>
      <c r="J1" s="397"/>
      <c r="K1" s="398"/>
      <c r="L1" s="398"/>
      <c r="M1" s="398"/>
      <c r="N1" s="2"/>
      <c r="O1" s="3"/>
      <c r="P1" s="1"/>
      <c r="Q1" s="3"/>
    </row>
    <row r="2" spans="1:18" ht="14.25">
      <c r="A2" s="4"/>
      <c r="B2" s="5" t="s">
        <v>2</v>
      </c>
      <c r="C2" s="6" t="s">
        <v>3</v>
      </c>
      <c r="D2" s="7" t="s">
        <v>4</v>
      </c>
      <c r="E2" s="6" t="s">
        <v>3</v>
      </c>
      <c r="F2" s="7" t="s">
        <v>153</v>
      </c>
      <c r="G2" s="6" t="s">
        <v>3</v>
      </c>
      <c r="H2" s="5" t="s">
        <v>2</v>
      </c>
      <c r="I2" s="6" t="s">
        <v>3</v>
      </c>
      <c r="J2" s="7" t="s">
        <v>4</v>
      </c>
      <c r="K2" s="6" t="s">
        <v>3</v>
      </c>
      <c r="L2" s="7" t="s">
        <v>5</v>
      </c>
      <c r="M2" s="6" t="s">
        <v>3</v>
      </c>
      <c r="N2" s="5">
        <v>2001</v>
      </c>
      <c r="O2" s="6" t="s">
        <v>560</v>
      </c>
      <c r="P2" s="414" t="s">
        <v>567</v>
      </c>
      <c r="Q2" s="413" t="s">
        <v>566</v>
      </c>
    </row>
    <row r="3" spans="1:18" ht="14.25">
      <c r="A3" s="4"/>
      <c r="B3" s="8"/>
      <c r="C3" s="9"/>
      <c r="D3" s="10"/>
      <c r="E3" s="9"/>
      <c r="F3" s="10"/>
      <c r="G3" s="9"/>
      <c r="H3" s="8"/>
      <c r="I3" s="9"/>
      <c r="J3" s="10"/>
      <c r="K3" s="9"/>
      <c r="L3" s="10"/>
      <c r="M3" s="10"/>
      <c r="N3" s="8"/>
      <c r="O3" s="9"/>
      <c r="P3" s="4"/>
      <c r="Q3" s="41"/>
    </row>
    <row r="4" spans="1:18">
      <c r="A4" s="11" t="s">
        <v>6</v>
      </c>
      <c r="B4" s="12">
        <f>+SALES!AM7</f>
        <v>1228875</v>
      </c>
      <c r="C4" s="13">
        <v>1</v>
      </c>
      <c r="D4" s="493">
        <f>+SALES!AM12+SALES!AM17</f>
        <v>1188500</v>
      </c>
      <c r="E4" s="13">
        <v>1</v>
      </c>
      <c r="F4" s="14">
        <f>+SALES!AM20+SALES!AM23+SALES!AM29+SALES!AM32+SALES!AM35+SALES!AM26</f>
        <v>986275</v>
      </c>
      <c r="G4" s="15">
        <v>1</v>
      </c>
      <c r="H4" s="14">
        <f>+SALES!AM42</f>
        <v>61500</v>
      </c>
      <c r="I4" s="15">
        <v>1</v>
      </c>
      <c r="J4" s="502">
        <f>+SALES!AM47+SALES!AM50+SALES!AM54</f>
        <v>1408500</v>
      </c>
      <c r="K4" s="13">
        <v>1</v>
      </c>
      <c r="L4" s="399">
        <f>+J4+H4+F4+D4+B4</f>
        <v>4873650</v>
      </c>
      <c r="M4" s="508">
        <v>1</v>
      </c>
      <c r="N4" s="391">
        <v>3388445</v>
      </c>
      <c r="O4" s="16">
        <v>1</v>
      </c>
      <c r="P4" s="415">
        <f t="shared" ref="P4:P12" si="0">K4-N4</f>
        <v>-3388444</v>
      </c>
      <c r="Q4" s="416">
        <f>P4/N4</f>
        <v>-0.99999970487937684</v>
      </c>
    </row>
    <row r="5" spans="1:18">
      <c r="A5" s="4"/>
      <c r="B5" s="12"/>
      <c r="C5" s="13"/>
      <c r="D5" s="491"/>
      <c r="E5" s="13"/>
      <c r="F5" s="17"/>
      <c r="G5" s="15"/>
      <c r="H5" s="18"/>
      <c r="I5" s="15"/>
      <c r="J5" s="78"/>
      <c r="K5" s="13"/>
      <c r="L5" s="399"/>
      <c r="M5" s="509"/>
      <c r="N5" s="391"/>
      <c r="O5" s="16"/>
      <c r="P5" s="415">
        <f t="shared" si="0"/>
        <v>0</v>
      </c>
      <c r="Q5" s="416"/>
    </row>
    <row r="6" spans="1:18">
      <c r="A6" s="4" t="s">
        <v>7</v>
      </c>
      <c r="B6" s="12"/>
      <c r="C6" s="13"/>
      <c r="D6" s="491"/>
      <c r="E6" s="13"/>
      <c r="F6" s="17"/>
      <c r="G6" s="15"/>
      <c r="H6" s="14"/>
      <c r="I6" s="15"/>
      <c r="J6" s="78"/>
      <c r="K6" s="13"/>
      <c r="L6" s="399"/>
      <c r="M6" s="509"/>
      <c r="N6" s="391"/>
      <c r="O6" s="16"/>
      <c r="P6" s="415">
        <f t="shared" si="0"/>
        <v>0</v>
      </c>
      <c r="Q6" s="416"/>
    </row>
    <row r="7" spans="1:18">
      <c r="A7" s="4" t="s">
        <v>8</v>
      </c>
      <c r="B7" s="12">
        <f>+COS!O9+9000</f>
        <v>328507.5</v>
      </c>
      <c r="C7" s="13">
        <f>B7/B4</f>
        <v>0.26732377174244737</v>
      </c>
      <c r="D7" s="493">
        <f>+COS!O16+COS!O23+9000</f>
        <v>391572</v>
      </c>
      <c r="E7" s="13">
        <f>D7/D4</f>
        <v>0.32946739587715607</v>
      </c>
      <c r="F7" s="14">
        <f>+COS!O29+COS!O36+COS!O42+COS!O47+COS!O48+COS!O53</f>
        <v>598673.25</v>
      </c>
      <c r="G7" s="15">
        <f>F7/F4</f>
        <v>0.60700438518668731</v>
      </c>
      <c r="H7" s="14">
        <f>+COS!O61+9000</f>
        <v>24375</v>
      </c>
      <c r="I7" s="15">
        <f>H7/H4</f>
        <v>0.39634146341463417</v>
      </c>
      <c r="J7" s="503">
        <f>+COS!O68+COS!O75+9000</f>
        <v>423240</v>
      </c>
      <c r="K7" s="13">
        <f>J7/J4</f>
        <v>0.30048988285410011</v>
      </c>
      <c r="L7" s="399">
        <f>+J7+H7+F7+D7+B7</f>
        <v>1766367.75</v>
      </c>
      <c r="M7" s="509">
        <f>L7/L4</f>
        <v>0.36243221199716846</v>
      </c>
      <c r="N7" s="391">
        <v>1165320</v>
      </c>
      <c r="O7" s="16">
        <v>0.29380000000000001</v>
      </c>
      <c r="P7" s="415">
        <f t="shared" si="0"/>
        <v>-1165319.6995101171</v>
      </c>
      <c r="Q7" s="416">
        <f t="shared" ref="Q7:Q43" si="1">P7/N7</f>
        <v>-0.99999974213959864</v>
      </c>
    </row>
    <row r="8" spans="1:18">
      <c r="A8" s="4"/>
      <c r="B8" s="12"/>
      <c r="C8" s="13"/>
      <c r="D8" s="491"/>
      <c r="E8" s="13"/>
      <c r="F8" s="17"/>
      <c r="G8" s="15"/>
      <c r="H8" s="18"/>
      <c r="I8" s="15"/>
      <c r="J8" s="78"/>
      <c r="K8" s="501"/>
      <c r="L8" s="399"/>
      <c r="M8" s="510"/>
      <c r="N8" s="391"/>
      <c r="O8" s="16"/>
      <c r="P8" s="415">
        <f t="shared" si="0"/>
        <v>0</v>
      </c>
      <c r="Q8" s="416"/>
    </row>
    <row r="9" spans="1:18">
      <c r="A9" s="4"/>
      <c r="B9" s="12"/>
      <c r="C9" s="13"/>
      <c r="D9" s="491"/>
      <c r="E9" s="13"/>
      <c r="F9" s="17"/>
      <c r="G9" s="15"/>
      <c r="H9" s="18"/>
      <c r="I9" s="15"/>
      <c r="J9" s="504"/>
      <c r="K9" s="501"/>
      <c r="L9" s="399"/>
      <c r="M9" s="510"/>
      <c r="N9" s="391"/>
      <c r="O9" s="16"/>
      <c r="P9" s="415">
        <f t="shared" si="0"/>
        <v>0</v>
      </c>
      <c r="Q9" s="416"/>
    </row>
    <row r="10" spans="1:18" s="198" customFormat="1" ht="14.25">
      <c r="A10" s="19" t="s">
        <v>9</v>
      </c>
      <c r="B10" s="316">
        <f>SUM(B4-B7-B8)</f>
        <v>900367.5</v>
      </c>
      <c r="C10" s="317">
        <f>B10/B4</f>
        <v>0.73267622825755263</v>
      </c>
      <c r="D10" s="316">
        <f>SUM(D4-D7-D8)</f>
        <v>796928</v>
      </c>
      <c r="E10" s="317">
        <f>D10/D4</f>
        <v>0.67053260412284388</v>
      </c>
      <c r="F10" s="318">
        <f>SUM(F4-F7-F8)</f>
        <v>387601.75</v>
      </c>
      <c r="G10" s="319">
        <f>F10/F4</f>
        <v>0.39299561481331274</v>
      </c>
      <c r="H10" s="318">
        <f>SUM(H4-H7-H8)</f>
        <v>37125</v>
      </c>
      <c r="I10" s="319">
        <f>H10/H4</f>
        <v>0.60365853658536583</v>
      </c>
      <c r="J10" s="505">
        <f>SUM(J4-J7)</f>
        <v>985260</v>
      </c>
      <c r="K10" s="507">
        <f>J10/J4</f>
        <v>0.69951011714589995</v>
      </c>
      <c r="L10" s="392">
        <f>L4-L7</f>
        <v>3107282.25</v>
      </c>
      <c r="M10" s="507">
        <f>L10/L4</f>
        <v>0.63756778800283154</v>
      </c>
      <c r="N10" s="392">
        <f>N4-N7</f>
        <v>2223125</v>
      </c>
      <c r="O10" s="320">
        <v>0.70590266303846971</v>
      </c>
      <c r="P10" s="417">
        <f t="shared" si="0"/>
        <v>-2223124.3004898829</v>
      </c>
      <c r="Q10" s="418">
        <f t="shared" si="1"/>
        <v>-0.99999968534827455</v>
      </c>
    </row>
    <row r="11" spans="1:18">
      <c r="A11" s="4"/>
      <c r="B11" s="20"/>
      <c r="C11" s="13"/>
      <c r="D11" s="491"/>
      <c r="E11" s="13"/>
      <c r="F11" s="21"/>
      <c r="G11" s="15"/>
      <c r="H11" s="18"/>
      <c r="I11" s="15"/>
      <c r="J11" s="506"/>
      <c r="K11" s="498"/>
      <c r="L11" s="501"/>
      <c r="M11" s="510"/>
      <c r="N11" s="391"/>
      <c r="O11" s="16"/>
      <c r="P11" s="415">
        <f t="shared" si="0"/>
        <v>0</v>
      </c>
      <c r="Q11" s="416"/>
    </row>
    <row r="12" spans="1:18">
      <c r="A12" s="11" t="s">
        <v>10</v>
      </c>
      <c r="B12" s="20"/>
      <c r="C12" s="13"/>
      <c r="D12" s="491"/>
      <c r="E12" s="13"/>
      <c r="F12" s="21"/>
      <c r="G12" s="15"/>
      <c r="H12" s="18"/>
      <c r="I12" s="15"/>
      <c r="J12" s="78"/>
      <c r="K12" s="498"/>
      <c r="L12" s="501"/>
      <c r="M12" s="510"/>
      <c r="N12" s="391"/>
      <c r="O12" s="16"/>
      <c r="P12" s="415">
        <f t="shared" si="0"/>
        <v>0</v>
      </c>
      <c r="Q12" s="416"/>
    </row>
    <row r="13" spans="1:18">
      <c r="A13" s="4" t="s">
        <v>11</v>
      </c>
      <c r="B13" s="4"/>
      <c r="C13" s="13"/>
      <c r="D13" s="491"/>
      <c r="E13" s="13"/>
      <c r="F13" s="21"/>
      <c r="G13" s="15"/>
      <c r="H13" s="14"/>
      <c r="I13" s="16">
        <f>H13/$H$4</f>
        <v>0</v>
      </c>
      <c r="J13" s="500"/>
      <c r="K13" s="498"/>
      <c r="L13" s="314">
        <f>+'Monthly P &amp; L'!P12</f>
        <v>1807622.8590909091</v>
      </c>
      <c r="M13" s="510"/>
      <c r="N13" s="393">
        <v>1548238</v>
      </c>
      <c r="O13" s="16">
        <f>N13/$N$4</f>
        <v>0.45691696338585991</v>
      </c>
      <c r="P13" s="415">
        <f t="shared" ref="P13:P43" si="2">(K13-N13)</f>
        <v>-1548238</v>
      </c>
      <c r="Q13" s="416">
        <f t="shared" si="1"/>
        <v>-1</v>
      </c>
      <c r="R13" s="111"/>
    </row>
    <row r="14" spans="1:18">
      <c r="A14" s="4" t="s">
        <v>12</v>
      </c>
      <c r="B14" s="4"/>
      <c r="C14" s="13"/>
      <c r="D14" s="491"/>
      <c r="E14" s="13"/>
      <c r="F14" s="21"/>
      <c r="G14" s="15"/>
      <c r="H14" s="18"/>
      <c r="I14" s="15"/>
      <c r="J14" s="78"/>
      <c r="K14" s="498"/>
      <c r="L14" s="314">
        <f>+'Monthly P &amp; L'!P13</f>
        <v>580045.16345454555</v>
      </c>
      <c r="M14" s="510"/>
      <c r="N14" s="393">
        <v>542513</v>
      </c>
      <c r="O14" s="16">
        <f t="shared" ref="O14:O22" si="3">N14/$N$4</f>
        <v>0.16010677464146533</v>
      </c>
      <c r="P14" s="415">
        <f t="shared" si="2"/>
        <v>-542513</v>
      </c>
      <c r="Q14" s="416">
        <f t="shared" si="1"/>
        <v>-1</v>
      </c>
      <c r="R14" s="111"/>
    </row>
    <row r="15" spans="1:18">
      <c r="A15" s="4" t="s">
        <v>228</v>
      </c>
      <c r="B15" s="4"/>
      <c r="C15" s="13"/>
      <c r="D15" s="491"/>
      <c r="E15" s="13"/>
      <c r="F15" s="21"/>
      <c r="G15" s="15"/>
      <c r="H15" s="18"/>
      <c r="I15" s="15"/>
      <c r="J15" s="78"/>
      <c r="K15" s="498"/>
      <c r="L15" s="314">
        <f>+'Monthly P &amp; L'!P14</f>
        <v>10581.823636363633</v>
      </c>
      <c r="M15" s="510"/>
      <c r="N15" s="393">
        <v>10386</v>
      </c>
      <c r="O15" s="16">
        <f t="shared" si="3"/>
        <v>3.0651227923132883E-3</v>
      </c>
      <c r="P15" s="415">
        <f t="shared" si="2"/>
        <v>-10386</v>
      </c>
      <c r="Q15" s="416">
        <f t="shared" si="1"/>
        <v>-1</v>
      </c>
      <c r="R15" s="111"/>
    </row>
    <row r="16" spans="1:18">
      <c r="A16" s="11" t="s">
        <v>13</v>
      </c>
      <c r="B16" s="4"/>
      <c r="C16" s="13"/>
      <c r="D16" s="491"/>
      <c r="E16" s="13"/>
      <c r="F16" s="21"/>
      <c r="G16" s="15"/>
      <c r="H16" s="18"/>
      <c r="I16" s="15"/>
      <c r="J16" s="78"/>
      <c r="K16" s="498"/>
      <c r="L16" s="314">
        <f>+'Monthly P &amp; L'!P15</f>
        <v>33996</v>
      </c>
      <c r="M16" s="510"/>
      <c r="N16" s="393">
        <v>39166</v>
      </c>
      <c r="O16" s="16">
        <f t="shared" si="3"/>
        <v>1.1558694327338942E-2</v>
      </c>
      <c r="P16" s="415">
        <f t="shared" si="2"/>
        <v>-39166</v>
      </c>
      <c r="Q16" s="416">
        <f t="shared" si="1"/>
        <v>-1</v>
      </c>
      <c r="R16" s="111"/>
    </row>
    <row r="17" spans="1:18">
      <c r="A17" s="11" t="s">
        <v>14</v>
      </c>
      <c r="B17" s="4"/>
      <c r="C17" s="13"/>
      <c r="D17" s="491"/>
      <c r="E17" s="13"/>
      <c r="F17" s="21"/>
      <c r="G17" s="15"/>
      <c r="H17" s="18"/>
      <c r="I17" s="15"/>
      <c r="J17" s="78"/>
      <c r="K17" s="498"/>
      <c r="L17" s="314">
        <f>+'Monthly P &amp; L'!P16</f>
        <v>5751</v>
      </c>
      <c r="M17" s="510"/>
      <c r="N17" s="393">
        <v>5616</v>
      </c>
      <c r="O17" s="16">
        <f t="shared" si="3"/>
        <v>1.6573974197603915E-3</v>
      </c>
      <c r="P17" s="415">
        <f t="shared" si="2"/>
        <v>-5616</v>
      </c>
      <c r="Q17" s="416">
        <f t="shared" si="1"/>
        <v>-1</v>
      </c>
      <c r="R17" s="111"/>
    </row>
    <row r="18" spans="1:18">
      <c r="A18" s="11" t="s">
        <v>15</v>
      </c>
      <c r="B18" s="4"/>
      <c r="C18" s="13"/>
      <c r="D18" s="491"/>
      <c r="E18" s="13"/>
      <c r="F18" s="21"/>
      <c r="G18" s="15"/>
      <c r="H18" s="18"/>
      <c r="I18" s="15"/>
      <c r="J18" s="78"/>
      <c r="K18" s="498"/>
      <c r="L18" s="314">
        <f>+'Monthly P &amp; L'!P17</f>
        <v>188000</v>
      </c>
      <c r="M18" s="510"/>
      <c r="N18" s="393">
        <v>214400</v>
      </c>
      <c r="O18" s="16">
        <f t="shared" si="3"/>
        <v>6.3273861609086171E-2</v>
      </c>
      <c r="P18" s="415">
        <f t="shared" si="2"/>
        <v>-214400</v>
      </c>
      <c r="Q18" s="416">
        <f t="shared" si="1"/>
        <v>-1</v>
      </c>
      <c r="R18" s="111"/>
    </row>
    <row r="19" spans="1:18">
      <c r="A19" s="4" t="s">
        <v>16</v>
      </c>
      <c r="B19" s="4"/>
      <c r="C19" s="13"/>
      <c r="D19" s="491"/>
      <c r="E19" s="13"/>
      <c r="F19" s="21"/>
      <c r="G19" s="15"/>
      <c r="H19" s="18"/>
      <c r="I19" s="15"/>
      <c r="J19" s="78"/>
      <c r="K19" s="498"/>
      <c r="L19" s="314">
        <f>+'Monthly P &amp; L'!P18</f>
        <v>9823.8327272727274</v>
      </c>
      <c r="M19" s="510"/>
      <c r="N19" s="393">
        <v>7220</v>
      </c>
      <c r="O19" s="16">
        <f t="shared" si="3"/>
        <v>2.1307708993358312E-3</v>
      </c>
      <c r="P19" s="415">
        <f t="shared" si="2"/>
        <v>-7220</v>
      </c>
      <c r="Q19" s="416">
        <f t="shared" si="1"/>
        <v>-1</v>
      </c>
      <c r="R19" s="111"/>
    </row>
    <row r="20" spans="1:18">
      <c r="A20" s="4" t="s">
        <v>406</v>
      </c>
      <c r="B20" s="4"/>
      <c r="C20" s="13"/>
      <c r="D20" s="491"/>
      <c r="E20" s="13"/>
      <c r="F20" s="21"/>
      <c r="G20" s="15"/>
      <c r="H20" s="18"/>
      <c r="I20" s="15"/>
      <c r="J20" s="18"/>
      <c r="K20" s="499"/>
      <c r="L20" s="314">
        <f>+'Monthly P &amp; L'!P19</f>
        <v>0</v>
      </c>
      <c r="M20" s="510"/>
      <c r="N20" s="393">
        <v>0</v>
      </c>
      <c r="O20" s="16">
        <f t="shared" si="3"/>
        <v>0</v>
      </c>
      <c r="P20" s="415">
        <f t="shared" si="2"/>
        <v>0</v>
      </c>
      <c r="Q20" s="416" t="e">
        <f t="shared" si="1"/>
        <v>#DIV/0!</v>
      </c>
      <c r="R20" s="111"/>
    </row>
    <row r="21" spans="1:18">
      <c r="A21" s="22"/>
      <c r="B21" s="4"/>
      <c r="C21" s="13"/>
      <c r="D21" s="491"/>
      <c r="E21" s="13"/>
      <c r="F21" s="21"/>
      <c r="G21" s="15"/>
      <c r="H21" s="18"/>
      <c r="I21" s="15"/>
      <c r="J21" s="411"/>
      <c r="K21" s="400"/>
      <c r="L21" s="400"/>
      <c r="M21" s="499"/>
      <c r="N21" s="393"/>
      <c r="O21" s="16"/>
      <c r="P21" s="415">
        <f t="shared" si="2"/>
        <v>0</v>
      </c>
      <c r="Q21" s="416"/>
    </row>
    <row r="22" spans="1:18">
      <c r="A22" s="4" t="s">
        <v>17</v>
      </c>
      <c r="B22" s="4"/>
      <c r="C22" s="13"/>
      <c r="D22" s="491"/>
      <c r="E22" s="13"/>
      <c r="F22" s="21"/>
      <c r="G22" s="15"/>
      <c r="H22" s="12">
        <f>SUM(H13:H20)</f>
        <v>0</v>
      </c>
      <c r="I22" s="16">
        <f>H22/$H$4</f>
        <v>0</v>
      </c>
      <c r="J22" s="400"/>
      <c r="K22" s="400"/>
      <c r="L22" s="393">
        <f>SUM(L13:L20)</f>
        <v>2635820.6789090908</v>
      </c>
      <c r="M22" s="393"/>
      <c r="N22" s="393">
        <f>SUM(N13:N20)</f>
        <v>2367539</v>
      </c>
      <c r="O22" s="16">
        <f t="shared" si="3"/>
        <v>0.6987095850751599</v>
      </c>
      <c r="P22" s="415">
        <f t="shared" si="2"/>
        <v>-2367539</v>
      </c>
      <c r="Q22" s="416">
        <f t="shared" si="1"/>
        <v>-1</v>
      </c>
    </row>
    <row r="23" spans="1:18">
      <c r="A23" s="4"/>
      <c r="B23" s="4"/>
      <c r="C23" s="13"/>
      <c r="D23" s="491"/>
      <c r="E23" s="13"/>
      <c r="F23" s="21"/>
      <c r="G23" s="15"/>
      <c r="H23" s="18"/>
      <c r="I23" s="16"/>
      <c r="J23" s="412"/>
      <c r="K23" s="400"/>
      <c r="L23" s="400"/>
      <c r="M23" s="400"/>
      <c r="N23" s="393"/>
      <c r="O23" s="16"/>
      <c r="P23" s="415">
        <f t="shared" si="2"/>
        <v>0</v>
      </c>
      <c r="Q23" s="416"/>
    </row>
    <row r="24" spans="1:18" s="198" customFormat="1" ht="14.25">
      <c r="A24" s="23" t="s">
        <v>18</v>
      </c>
      <c r="B24" s="321"/>
      <c r="C24" s="317"/>
      <c r="D24" s="492"/>
      <c r="E24" s="317"/>
      <c r="F24" s="322"/>
      <c r="G24" s="319"/>
      <c r="H24" s="101"/>
      <c r="I24" s="320">
        <f>H24/$H$4</f>
        <v>0</v>
      </c>
      <c r="J24" s="401"/>
      <c r="K24" s="401"/>
      <c r="L24" s="394">
        <f>L10-L22</f>
        <v>471461.57109090919</v>
      </c>
      <c r="M24" s="394"/>
      <c r="N24" s="394">
        <f>N10-N22</f>
        <v>-144414</v>
      </c>
      <c r="O24" s="374">
        <f>N24/$N$4</f>
        <v>-4.2619549675441092E-2</v>
      </c>
      <c r="P24" s="417">
        <f t="shared" si="2"/>
        <v>144414</v>
      </c>
      <c r="Q24" s="418">
        <f t="shared" si="1"/>
        <v>-1</v>
      </c>
    </row>
    <row r="25" spans="1:18">
      <c r="A25" s="4"/>
      <c r="B25" s="4"/>
      <c r="C25" s="13"/>
      <c r="D25" s="491"/>
      <c r="E25" s="13"/>
      <c r="F25" s="21"/>
      <c r="G25" s="15"/>
      <c r="H25" s="18"/>
      <c r="I25" s="15"/>
      <c r="J25" s="411"/>
      <c r="K25" s="400"/>
      <c r="L25" s="400"/>
      <c r="M25" s="400"/>
      <c r="N25" s="393"/>
      <c r="O25" s="15"/>
      <c r="P25" s="415">
        <f t="shared" si="2"/>
        <v>0</v>
      </c>
      <c r="Q25" s="416"/>
    </row>
    <row r="26" spans="1:18">
      <c r="A26" s="4" t="s">
        <v>19</v>
      </c>
      <c r="B26" s="4"/>
      <c r="C26" s="13"/>
      <c r="D26" s="491"/>
      <c r="E26" s="13"/>
      <c r="F26" s="21"/>
      <c r="G26" s="15"/>
      <c r="H26" s="18"/>
      <c r="I26" s="15"/>
      <c r="J26" s="411"/>
      <c r="K26" s="400"/>
      <c r="L26" s="400"/>
      <c r="M26" s="400"/>
      <c r="N26" s="393">
        <v>1682</v>
      </c>
      <c r="O26" s="15">
        <f>N26/$N$4</f>
        <v>4.9639288818322273E-4</v>
      </c>
      <c r="P26" s="415">
        <f t="shared" si="2"/>
        <v>-1682</v>
      </c>
      <c r="Q26" s="416">
        <f t="shared" si="1"/>
        <v>-1</v>
      </c>
    </row>
    <row r="27" spans="1:18">
      <c r="A27" s="26"/>
      <c r="B27" s="4"/>
      <c r="C27" s="13"/>
      <c r="D27" s="491"/>
      <c r="E27" s="13"/>
      <c r="F27" s="21"/>
      <c r="G27" s="15"/>
      <c r="H27" s="18"/>
      <c r="I27" s="15"/>
      <c r="J27" s="411"/>
      <c r="K27" s="400"/>
      <c r="L27" s="400"/>
      <c r="M27" s="400"/>
      <c r="N27" s="393"/>
      <c r="O27" s="15"/>
      <c r="P27" s="415">
        <f t="shared" si="2"/>
        <v>0</v>
      </c>
      <c r="Q27" s="416"/>
    </row>
    <row r="28" spans="1:18" s="198" customFormat="1" ht="14.25">
      <c r="A28" s="23" t="s">
        <v>20</v>
      </c>
      <c r="B28" s="321"/>
      <c r="C28" s="317"/>
      <c r="D28" s="492"/>
      <c r="E28" s="317"/>
      <c r="F28" s="322"/>
      <c r="G28" s="319"/>
      <c r="H28" s="101">
        <f>H24+H26</f>
        <v>0</v>
      </c>
      <c r="I28" s="320">
        <f>H28/$H$4</f>
        <v>0</v>
      </c>
      <c r="J28" s="401"/>
      <c r="K28" s="401"/>
      <c r="L28" s="394">
        <f>L24+L26</f>
        <v>471461.57109090919</v>
      </c>
      <c r="M28" s="394"/>
      <c r="N28" s="394">
        <f>N24+N26</f>
        <v>-142732</v>
      </c>
      <c r="O28" s="320">
        <f>N28/$N$4</f>
        <v>-4.2123156787257872E-2</v>
      </c>
      <c r="P28" s="417">
        <f t="shared" si="2"/>
        <v>142732</v>
      </c>
      <c r="Q28" s="418">
        <f t="shared" si="1"/>
        <v>-1</v>
      </c>
    </row>
    <row r="29" spans="1:18">
      <c r="A29" s="22"/>
      <c r="B29" s="4"/>
      <c r="C29" s="13"/>
      <c r="D29" s="491"/>
      <c r="E29" s="13"/>
      <c r="F29" s="21"/>
      <c r="G29" s="15"/>
      <c r="H29" s="18"/>
      <c r="I29" s="15"/>
      <c r="J29" s="411"/>
      <c r="K29" s="400"/>
      <c r="L29" s="400"/>
      <c r="M29" s="400"/>
      <c r="N29" s="393"/>
      <c r="O29" s="15"/>
      <c r="P29" s="415">
        <f t="shared" si="2"/>
        <v>0</v>
      </c>
      <c r="Q29" s="416"/>
    </row>
    <row r="30" spans="1:18">
      <c r="A30" s="11" t="s">
        <v>21</v>
      </c>
      <c r="B30" s="4"/>
      <c r="C30" s="13"/>
      <c r="D30" s="491"/>
      <c r="E30" s="13"/>
      <c r="F30" s="21"/>
      <c r="G30" s="15"/>
      <c r="H30" s="18"/>
      <c r="I30" s="15"/>
      <c r="J30" s="411"/>
      <c r="K30" s="400"/>
      <c r="L30" s="400">
        <f>+'Monthly P &amp; L'!P28</f>
        <v>120000</v>
      </c>
      <c r="M30" s="400"/>
      <c r="N30" s="393">
        <v>120000</v>
      </c>
      <c r="O30" s="16">
        <f>N30/$N$4</f>
        <v>3.5414474781204949E-2</v>
      </c>
      <c r="P30" s="415">
        <f t="shared" si="2"/>
        <v>-120000</v>
      </c>
      <c r="Q30" s="416">
        <f t="shared" si="1"/>
        <v>-1</v>
      </c>
    </row>
    <row r="31" spans="1:18">
      <c r="A31" s="11"/>
      <c r="B31" s="4"/>
      <c r="C31" s="13"/>
      <c r="D31" s="491"/>
      <c r="E31" s="13"/>
      <c r="F31" s="21"/>
      <c r="G31" s="15"/>
      <c r="H31" s="18"/>
      <c r="I31" s="15"/>
      <c r="J31" s="411"/>
      <c r="K31" s="400"/>
      <c r="L31" s="400"/>
      <c r="M31" s="400"/>
      <c r="N31" s="393"/>
      <c r="O31" s="16"/>
      <c r="P31" s="415">
        <f t="shared" si="2"/>
        <v>0</v>
      </c>
      <c r="Q31" s="416"/>
    </row>
    <row r="32" spans="1:18" s="198" customFormat="1" ht="14.25">
      <c r="A32" s="23" t="s">
        <v>22</v>
      </c>
      <c r="B32" s="321"/>
      <c r="C32" s="317"/>
      <c r="D32" s="492"/>
      <c r="E32" s="317"/>
      <c r="F32" s="322"/>
      <c r="G32" s="319"/>
      <c r="H32" s="323"/>
      <c r="I32" s="319"/>
      <c r="J32" s="401"/>
      <c r="K32" s="401"/>
      <c r="L32" s="394">
        <f>L28-L30</f>
        <v>351461.57109090919</v>
      </c>
      <c r="M32" s="394"/>
      <c r="N32" s="394">
        <f>N28-N30</f>
        <v>-262732</v>
      </c>
      <c r="O32" s="320">
        <f>N32/$N$4</f>
        <v>-7.7537631568462814E-2</v>
      </c>
      <c r="P32" s="417">
        <f t="shared" si="2"/>
        <v>262732</v>
      </c>
      <c r="Q32" s="418">
        <f t="shared" si="1"/>
        <v>-1</v>
      </c>
    </row>
    <row r="33" spans="1:17">
      <c r="A33" s="11"/>
      <c r="B33" s="4"/>
      <c r="C33" s="13"/>
      <c r="D33" s="491"/>
      <c r="E33" s="13"/>
      <c r="F33" s="21"/>
      <c r="G33" s="15"/>
      <c r="H33" s="18"/>
      <c r="I33" s="15"/>
      <c r="J33" s="411"/>
      <c r="K33" s="400"/>
      <c r="L33" s="400"/>
      <c r="M33" s="400"/>
      <c r="N33" s="393"/>
      <c r="O33" s="16"/>
      <c r="P33" s="415">
        <f t="shared" si="2"/>
        <v>0</v>
      </c>
      <c r="Q33" s="416"/>
    </row>
    <row r="34" spans="1:17">
      <c r="A34" s="4" t="s">
        <v>23</v>
      </c>
      <c r="B34" s="4"/>
      <c r="C34" s="13"/>
      <c r="D34" s="491"/>
      <c r="E34" s="13"/>
      <c r="F34" s="21"/>
      <c r="G34" s="15"/>
      <c r="H34" s="12"/>
      <c r="I34" s="16"/>
      <c r="J34" s="412"/>
      <c r="K34" s="400"/>
      <c r="L34" s="400">
        <f>+'Monthly P &amp; L'!P32</f>
        <v>306445.33090909087</v>
      </c>
      <c r="M34" s="400"/>
      <c r="N34" s="393">
        <v>378672</v>
      </c>
      <c r="O34" s="16">
        <f>N34/$N$4</f>
        <v>0.11175391661957033</v>
      </c>
      <c r="P34" s="415">
        <f t="shared" si="2"/>
        <v>-378672</v>
      </c>
      <c r="Q34" s="416">
        <f t="shared" si="1"/>
        <v>-1</v>
      </c>
    </row>
    <row r="35" spans="1:17">
      <c r="A35" s="4" t="s">
        <v>24</v>
      </c>
      <c r="B35" s="4"/>
      <c r="C35" s="13"/>
      <c r="D35" s="491"/>
      <c r="E35" s="13"/>
      <c r="F35" s="21"/>
      <c r="G35" s="15"/>
      <c r="H35" s="12"/>
      <c r="I35" s="16"/>
      <c r="J35" s="412"/>
      <c r="K35" s="400"/>
      <c r="L35" s="400">
        <f>+'Monthly P &amp; L'!P33</f>
        <v>16836</v>
      </c>
      <c r="M35" s="400"/>
      <c r="N35" s="393">
        <v>113620</v>
      </c>
      <c r="O35" s="16">
        <f>N35/$N$4</f>
        <v>3.3531605205337552E-2</v>
      </c>
      <c r="P35" s="415">
        <f t="shared" si="2"/>
        <v>-113620</v>
      </c>
      <c r="Q35" s="416">
        <f t="shared" si="1"/>
        <v>-1</v>
      </c>
    </row>
    <row r="36" spans="1:17">
      <c r="A36" s="26"/>
      <c r="B36" s="4"/>
      <c r="C36" s="13"/>
      <c r="D36" s="491"/>
      <c r="E36" s="13"/>
      <c r="F36" s="21"/>
      <c r="G36" s="15"/>
      <c r="H36" s="18"/>
      <c r="I36" s="15"/>
      <c r="J36" s="411"/>
      <c r="K36" s="400"/>
      <c r="L36" s="400"/>
      <c r="M36" s="400"/>
      <c r="N36" s="393"/>
      <c r="O36" s="15"/>
      <c r="P36" s="415">
        <f t="shared" si="2"/>
        <v>0</v>
      </c>
      <c r="Q36" s="416"/>
    </row>
    <row r="37" spans="1:17" s="198" customFormat="1" ht="14.25">
      <c r="A37" s="23" t="s">
        <v>25</v>
      </c>
      <c r="B37" s="321"/>
      <c r="C37" s="317"/>
      <c r="D37" s="492"/>
      <c r="E37" s="317"/>
      <c r="F37" s="322"/>
      <c r="G37" s="319"/>
      <c r="H37" s="101">
        <f>H28-H34-H35</f>
        <v>0</v>
      </c>
      <c r="I37" s="320">
        <f>H37/$H$4</f>
        <v>0</v>
      </c>
      <c r="J37" s="401"/>
      <c r="K37" s="401"/>
      <c r="L37" s="394">
        <f>L32-L34-L35</f>
        <v>28180.240181818313</v>
      </c>
      <c r="M37" s="394"/>
      <c r="N37" s="394">
        <f>N32-N34-N35</f>
        <v>-755024</v>
      </c>
      <c r="O37" s="320">
        <f>N37/$N$4</f>
        <v>-0.22282315339337069</v>
      </c>
      <c r="P37" s="417">
        <f t="shared" si="2"/>
        <v>755024</v>
      </c>
      <c r="Q37" s="418">
        <f t="shared" si="1"/>
        <v>-1</v>
      </c>
    </row>
    <row r="38" spans="1:17">
      <c r="A38" s="26"/>
      <c r="B38" s="4"/>
      <c r="C38" s="13"/>
      <c r="D38" s="491"/>
      <c r="E38" s="13"/>
      <c r="F38" s="21"/>
      <c r="G38" s="15"/>
      <c r="H38" s="18"/>
      <c r="I38" s="15"/>
      <c r="J38" s="411"/>
      <c r="K38" s="400"/>
      <c r="L38" s="400"/>
      <c r="M38" s="400"/>
      <c r="N38" s="393"/>
      <c r="O38" s="15"/>
      <c r="P38" s="415">
        <f t="shared" si="2"/>
        <v>0</v>
      </c>
      <c r="Q38" s="416"/>
    </row>
    <row r="39" spans="1:17">
      <c r="A39" s="27" t="s">
        <v>26</v>
      </c>
      <c r="B39" s="4"/>
      <c r="C39" s="13"/>
      <c r="D39" s="491"/>
      <c r="E39" s="13"/>
      <c r="F39" s="21"/>
      <c r="G39" s="15"/>
      <c r="H39" s="18"/>
      <c r="I39" s="15"/>
      <c r="J39" s="411"/>
      <c r="K39" s="400"/>
      <c r="L39" s="400"/>
      <c r="M39" s="400"/>
      <c r="N39" s="393"/>
      <c r="O39" s="15"/>
      <c r="P39" s="415">
        <f t="shared" si="2"/>
        <v>0</v>
      </c>
      <c r="Q39" s="416"/>
    </row>
    <row r="40" spans="1:17">
      <c r="A40" s="11" t="s">
        <v>27</v>
      </c>
      <c r="B40" s="4"/>
      <c r="C40" s="13"/>
      <c r="D40" s="491"/>
      <c r="E40" s="13"/>
      <c r="F40" s="21"/>
      <c r="G40" s="15"/>
      <c r="I40" s="15"/>
      <c r="J40" s="411"/>
      <c r="K40" s="402"/>
      <c r="L40" s="402">
        <f>+N43</f>
        <v>-3926847</v>
      </c>
      <c r="M40" s="402"/>
      <c r="N40" s="395">
        <v>-3171823</v>
      </c>
      <c r="O40" s="15"/>
      <c r="P40" s="415">
        <f t="shared" si="2"/>
        <v>3171823</v>
      </c>
      <c r="Q40" s="416">
        <f t="shared" si="1"/>
        <v>-1</v>
      </c>
    </row>
    <row r="41" spans="1:17">
      <c r="A41" s="4" t="s">
        <v>28</v>
      </c>
      <c r="B41" s="4"/>
      <c r="C41" s="13"/>
      <c r="D41" s="491"/>
      <c r="E41" s="13"/>
      <c r="F41" s="21"/>
      <c r="G41" s="15"/>
      <c r="H41" s="12">
        <f>H37</f>
        <v>0</v>
      </c>
      <c r="I41" s="16">
        <f>H41/$H$4</f>
        <v>0</v>
      </c>
      <c r="J41" s="412"/>
      <c r="K41" s="400"/>
      <c r="L41" s="400">
        <f>+L37</f>
        <v>28180.240181818313</v>
      </c>
      <c r="M41" s="400"/>
      <c r="N41" s="393">
        <f>N37</f>
        <v>-755024</v>
      </c>
      <c r="O41" s="16">
        <f>N41/$N$4</f>
        <v>-0.22282315339337069</v>
      </c>
      <c r="P41" s="415">
        <f t="shared" si="2"/>
        <v>755024</v>
      </c>
      <c r="Q41" s="416">
        <f t="shared" si="1"/>
        <v>-1</v>
      </c>
    </row>
    <row r="42" spans="1:17">
      <c r="A42" s="4"/>
      <c r="B42" s="4"/>
      <c r="C42" s="13"/>
      <c r="D42" s="491"/>
      <c r="E42" s="13"/>
      <c r="F42" s="21"/>
      <c r="G42" s="15"/>
      <c r="H42" s="18"/>
      <c r="I42" s="15"/>
      <c r="J42" s="411"/>
      <c r="K42" s="400"/>
      <c r="L42" s="400"/>
      <c r="M42" s="400"/>
      <c r="N42" s="393"/>
      <c r="O42" s="15"/>
      <c r="P42" s="415">
        <f t="shared" si="2"/>
        <v>0</v>
      </c>
      <c r="Q42" s="416"/>
    </row>
    <row r="43" spans="1:17" s="198" customFormat="1" ht="17.25" customHeight="1">
      <c r="A43" s="19" t="s">
        <v>29</v>
      </c>
      <c r="B43" s="321"/>
      <c r="C43" s="317"/>
      <c r="D43" s="492"/>
      <c r="E43" s="317"/>
      <c r="F43" s="322"/>
      <c r="G43" s="319"/>
      <c r="H43" s="101">
        <f>SUM(H40:H42)</f>
        <v>0</v>
      </c>
      <c r="I43" s="320">
        <f>H43/$H$4</f>
        <v>0</v>
      </c>
      <c r="J43" s="401">
        <f>SUM(J40:J42)</f>
        <v>0</v>
      </c>
      <c r="K43" s="401"/>
      <c r="L43" s="394">
        <f>SUM(L40:L41)</f>
        <v>-3898666.7598181819</v>
      </c>
      <c r="M43" s="394"/>
      <c r="N43" s="394">
        <f>SUM(N40:N41)</f>
        <v>-3926847</v>
      </c>
      <c r="O43" s="396">
        <f>N43/$N$4</f>
        <v>-1.1588935337595858</v>
      </c>
      <c r="P43" s="417">
        <f t="shared" si="2"/>
        <v>3926847</v>
      </c>
      <c r="Q43" s="418">
        <f t="shared" si="1"/>
        <v>-1</v>
      </c>
    </row>
    <row r="44" spans="1:17">
      <c r="B44" s="28"/>
      <c r="C44" s="29"/>
      <c r="D44" s="29"/>
      <c r="E44" s="73"/>
    </row>
    <row r="45" spans="1:17">
      <c r="B45" s="28"/>
      <c r="C45" s="29"/>
      <c r="D45" s="29"/>
      <c r="E45" s="73"/>
    </row>
    <row r="46" spans="1:17">
      <c r="A46" s="30"/>
      <c r="B46" s="28"/>
      <c r="C46" s="29"/>
      <c r="D46" s="29"/>
      <c r="E46" s="73"/>
    </row>
    <row r="47" spans="1:17">
      <c r="E47" s="41"/>
    </row>
    <row r="48" spans="1:17">
      <c r="E48" s="41"/>
    </row>
    <row r="49" spans="5:5">
      <c r="E49" s="41"/>
    </row>
    <row r="50" spans="5:5">
      <c r="E50" s="41"/>
    </row>
    <row r="51" spans="5:5">
      <c r="E51" s="41"/>
    </row>
    <row r="52" spans="5:5">
      <c r="E52" s="41"/>
    </row>
    <row r="53" spans="5:5">
      <c r="E53" s="41"/>
    </row>
    <row r="54" spans="5:5">
      <c r="E54" s="41"/>
    </row>
    <row r="55" spans="5:5">
      <c r="E55" s="41"/>
    </row>
    <row r="56" spans="5:5">
      <c r="E56" s="41"/>
    </row>
    <row r="57" spans="5:5">
      <c r="E57" s="41"/>
    </row>
    <row r="58" spans="5:5">
      <c r="E58" s="41"/>
    </row>
    <row r="59" spans="5:5">
      <c r="E59" s="41"/>
    </row>
    <row r="60" spans="5:5">
      <c r="E60" s="41"/>
    </row>
    <row r="61" spans="5:5">
      <c r="E61" s="41"/>
    </row>
    <row r="62" spans="5:5">
      <c r="E62" s="41"/>
    </row>
    <row r="63" spans="5:5">
      <c r="E63" s="41"/>
    </row>
    <row r="64" spans="5:5">
      <c r="E64" s="41"/>
    </row>
    <row r="65" spans="5:5">
      <c r="E65" s="41"/>
    </row>
    <row r="66" spans="5:5">
      <c r="E66" s="41"/>
    </row>
    <row r="67" spans="5:5">
      <c r="E67" s="41"/>
    </row>
    <row r="68" spans="5:5">
      <c r="E68" s="41"/>
    </row>
    <row r="69" spans="5:5">
      <c r="E69" s="41"/>
    </row>
    <row r="70" spans="5:5">
      <c r="E70" s="41"/>
    </row>
    <row r="71" spans="5:5">
      <c r="E71" s="41"/>
    </row>
    <row r="72" spans="5:5">
      <c r="E72" s="41"/>
    </row>
    <row r="73" spans="5:5">
      <c r="E73" s="41"/>
    </row>
    <row r="74" spans="5:5">
      <c r="E74" s="41"/>
    </row>
    <row r="75" spans="5:5">
      <c r="E75" s="41"/>
    </row>
    <row r="76" spans="5:5">
      <c r="E76" s="41"/>
    </row>
    <row r="77" spans="5:5">
      <c r="E77" s="41"/>
    </row>
    <row r="78" spans="5:5">
      <c r="E78" s="41"/>
    </row>
    <row r="79" spans="5:5">
      <c r="E79" s="41"/>
    </row>
    <row r="80" spans="5:5">
      <c r="E80" s="41"/>
    </row>
    <row r="81" spans="5:5">
      <c r="E81" s="41"/>
    </row>
    <row r="82" spans="5:5">
      <c r="E82" s="41"/>
    </row>
    <row r="83" spans="5:5">
      <c r="E83" s="41"/>
    </row>
    <row r="84" spans="5:5">
      <c r="E84" s="41"/>
    </row>
    <row r="85" spans="5:5">
      <c r="E85" s="41"/>
    </row>
    <row r="86" spans="5:5">
      <c r="E86" s="41"/>
    </row>
    <row r="87" spans="5:5">
      <c r="E87" s="41"/>
    </row>
    <row r="88" spans="5:5">
      <c r="E88" s="41"/>
    </row>
    <row r="89" spans="5:5">
      <c r="E89" s="41"/>
    </row>
    <row r="90" spans="5:5">
      <c r="E90" s="41"/>
    </row>
    <row r="91" spans="5:5">
      <c r="E91" s="41"/>
    </row>
    <row r="92" spans="5:5">
      <c r="E92" s="41"/>
    </row>
    <row r="93" spans="5:5">
      <c r="E93" s="41"/>
    </row>
    <row r="94" spans="5:5">
      <c r="E94" s="41"/>
    </row>
    <row r="95" spans="5:5">
      <c r="E95" s="41"/>
    </row>
    <row r="96" spans="5:5">
      <c r="E96" s="41"/>
    </row>
    <row r="97" spans="5:5">
      <c r="E97" s="41"/>
    </row>
    <row r="98" spans="5:5">
      <c r="E98" s="41"/>
    </row>
    <row r="99" spans="5:5">
      <c r="E99" s="41"/>
    </row>
    <row r="100" spans="5:5">
      <c r="E100" s="41"/>
    </row>
    <row r="101" spans="5:5">
      <c r="E101" s="41"/>
    </row>
    <row r="102" spans="5:5">
      <c r="E102" s="41"/>
    </row>
    <row r="103" spans="5:5">
      <c r="E103" s="41"/>
    </row>
    <row r="104" spans="5:5">
      <c r="E104" s="41"/>
    </row>
    <row r="105" spans="5:5">
      <c r="E105" s="41"/>
    </row>
    <row r="106" spans="5:5">
      <c r="E106" s="41"/>
    </row>
    <row r="107" spans="5:5">
      <c r="E107" s="41"/>
    </row>
    <row r="108" spans="5:5">
      <c r="E108" s="41"/>
    </row>
    <row r="109" spans="5:5">
      <c r="E109" s="41"/>
    </row>
    <row r="110" spans="5:5">
      <c r="E110" s="41"/>
    </row>
    <row r="111" spans="5:5">
      <c r="E111" s="41"/>
    </row>
    <row r="112" spans="5:5">
      <c r="E112" s="41"/>
    </row>
  </sheetData>
  <mergeCells count="2">
    <mergeCell ref="B1:G1"/>
    <mergeCell ref="H1:I1"/>
  </mergeCells>
  <phoneticPr fontId="0" type="noConversion"/>
  <printOptions horizontalCentered="1" verticalCentered="1" gridLines="1"/>
  <pageMargins left="0.75" right="0.75" top="1.28" bottom="0.43" header="0.47" footer="0.18"/>
  <pageSetup paperSize="9" scale="85" firstPageNumber="3" orientation="landscape" useFirstPageNumber="1" horizontalDpi="4294967292" verticalDpi="4294967292" r:id="rId1"/>
  <headerFooter alignWithMargins="0">
    <oddHeader>&amp;L&amp;D
&amp;T&amp;C&amp;11
&amp;"Arial,Bold"EXECUTRAIN - DUBAI&amp;"Arial,Regular"
&amp;"Arial,Bold"&amp;10Budget for the period Jan 02 to Dec.02
Income Statement&amp;R&amp;F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N34"/>
  <sheetViews>
    <sheetView topLeftCell="A4" workbookViewId="0">
      <selection activeCell="A24" sqref="A24:A26"/>
    </sheetView>
  </sheetViews>
  <sheetFormatPr defaultRowHeight="12.75"/>
  <cols>
    <col min="11" max="11" width="11.5703125" customWidth="1"/>
  </cols>
  <sheetData>
    <row r="1" spans="1:13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>
      <c r="A2" s="193"/>
      <c r="B2" s="616" t="s">
        <v>817</v>
      </c>
      <c r="C2" s="616"/>
      <c r="D2" s="616"/>
      <c r="E2" s="194" t="s">
        <v>5</v>
      </c>
      <c r="F2" s="616" t="s">
        <v>818</v>
      </c>
      <c r="G2" s="616"/>
      <c r="H2" s="616"/>
      <c r="I2" s="193" t="s">
        <v>5</v>
      </c>
      <c r="J2" s="193"/>
      <c r="K2" s="193"/>
      <c r="L2" s="193"/>
      <c r="M2" s="193"/>
    </row>
    <row r="3" spans="1:13">
      <c r="A3" s="193" t="s">
        <v>813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3">
      <c r="A4" s="193"/>
      <c r="B4" s="193" t="s">
        <v>150</v>
      </c>
      <c r="C4" s="193" t="s">
        <v>151</v>
      </c>
      <c r="D4" s="193" t="s">
        <v>816</v>
      </c>
      <c r="E4" s="193"/>
      <c r="F4" s="193" t="s">
        <v>150</v>
      </c>
      <c r="G4" s="193" t="s">
        <v>151</v>
      </c>
      <c r="H4" s="193" t="s">
        <v>816</v>
      </c>
      <c r="I4" s="193"/>
      <c r="J4" s="193"/>
      <c r="K4" s="193"/>
      <c r="L4" s="193"/>
      <c r="M4" s="193"/>
    </row>
    <row r="5" spans="1:13">
      <c r="A5" s="193" t="s">
        <v>814</v>
      </c>
      <c r="B5" s="193">
        <f>+'Staff requirements'!D7+'Staff requirements'!D8+'Staff requirements'!D9</f>
        <v>7550</v>
      </c>
      <c r="C5" s="193">
        <f>+'Staff requirements'!E8+'Staff requirements'!E9</f>
        <v>3700</v>
      </c>
      <c r="D5" s="193">
        <f>+'Staff requirements'!F8</f>
        <v>500</v>
      </c>
      <c r="E5" s="193">
        <f>+B5+C5+D5</f>
        <v>11750</v>
      </c>
      <c r="F5" s="193">
        <f>+'Staff requirements'!J7+'Staff requirements'!J8+'Staff requirements'!J9</f>
        <v>7750</v>
      </c>
      <c r="G5" s="193">
        <f>+'Staff requirements'!K8+'Staff requirements'!K9</f>
        <v>3700</v>
      </c>
      <c r="H5" s="193">
        <f>+'Staff requirements'!L8</f>
        <v>500</v>
      </c>
      <c r="I5" s="193">
        <f>+F5+G5+H5</f>
        <v>11950</v>
      </c>
      <c r="J5" s="193">
        <f>+I5-E5</f>
        <v>200</v>
      </c>
      <c r="K5" s="193" t="s">
        <v>822</v>
      </c>
      <c r="L5" s="193">
        <v>200</v>
      </c>
      <c r="M5" s="193"/>
    </row>
    <row r="6" spans="1:13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 t="s">
        <v>821</v>
      </c>
      <c r="L6" s="193">
        <v>500</v>
      </c>
      <c r="M6" s="539">
        <v>37865</v>
      </c>
    </row>
    <row r="7" spans="1:13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</row>
    <row r="8" spans="1:13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</row>
    <row r="9" spans="1:13">
      <c r="A9" s="193" t="s">
        <v>47</v>
      </c>
      <c r="B9" s="193">
        <f>+'Staff requirements'!D14+'Staff requirements'!D16+'Staff requirements'!D17+'Staff requirements'!D18+'Staff requirements'!D19+'Staff requirements'!D20+'Staff requirements'!D21</f>
        <v>28900</v>
      </c>
      <c r="C9" s="193">
        <f>+'Staff requirements'!E14+'Staff requirements'!E16+'Staff requirements'!E17+'Staff requirements'!E18+'Staff requirements'!E19+'Staff requirements'!E20+'Staff requirements'!E21</f>
        <v>8500</v>
      </c>
      <c r="D9" s="193">
        <f>+'Staff requirements'!F16+'Staff requirements'!F19+'Staff requirements'!F21</f>
        <v>2250</v>
      </c>
      <c r="E9" s="193">
        <f>+B9+C9+D9</f>
        <v>39650</v>
      </c>
      <c r="F9" s="193">
        <f>+'Staff requirements'!J14+'Staff requirements'!J16+'Staff requirements'!J17+'Staff requirements'!J18+'Staff requirements'!J19+'Staff requirements'!J20+'Staff requirements'!J21+'Staff requirements'!J23</f>
        <v>32050</v>
      </c>
      <c r="G9" s="193">
        <f>+'Staff requirements'!K14+'Staff requirements'!K16+'Staff requirements'!K17+'Staff requirements'!K18+'Staff requirements'!K19+'Staff requirements'!K20+'Staff requirements'!K21+'Staff requirements'!K23</f>
        <v>10500</v>
      </c>
      <c r="H9" s="193">
        <f>+'Staff requirements'!L16+'Staff requirements'!L19+'Staff requirements'!L21+'Staff requirements'!L23</f>
        <v>3000</v>
      </c>
      <c r="I9" s="193">
        <f>+F9+G9+H9</f>
        <v>45550</v>
      </c>
      <c r="J9" s="193">
        <f>+I9-E9</f>
        <v>5900</v>
      </c>
      <c r="K9" s="193" t="s">
        <v>823</v>
      </c>
      <c r="L9" s="193">
        <v>-1500</v>
      </c>
      <c r="M9" s="193"/>
    </row>
    <row r="10" spans="1:13">
      <c r="A10" s="193"/>
      <c r="B10" s="193"/>
      <c r="C10" s="193"/>
      <c r="D10" s="193"/>
      <c r="E10" s="193"/>
      <c r="F10" s="193"/>
      <c r="G10" s="193"/>
      <c r="H10" s="193"/>
      <c r="I10" s="193"/>
      <c r="J10" s="193"/>
      <c r="K10" s="193" t="s">
        <v>824</v>
      </c>
      <c r="L10" s="193">
        <v>250</v>
      </c>
      <c r="M10" s="193"/>
    </row>
    <row r="11" spans="1:13">
      <c r="A11" s="193"/>
      <c r="B11" s="193"/>
      <c r="C11" s="193"/>
      <c r="D11" s="193"/>
      <c r="E11" s="193"/>
      <c r="F11" s="193"/>
      <c r="G11" s="193"/>
      <c r="H11" s="193"/>
      <c r="I11" s="193"/>
      <c r="J11" s="193"/>
      <c r="K11" s="193" t="s">
        <v>825</v>
      </c>
      <c r="L11" s="193">
        <v>6750</v>
      </c>
      <c r="M11" s="193" t="s">
        <v>826</v>
      </c>
    </row>
    <row r="12" spans="1:13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 t="s">
        <v>718</v>
      </c>
      <c r="L12" s="193">
        <v>400</v>
      </c>
      <c r="M12" s="193"/>
    </row>
    <row r="13" spans="1:13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 t="s">
        <v>827</v>
      </c>
      <c r="L13" s="193">
        <v>500</v>
      </c>
      <c r="M13" s="193"/>
    </row>
    <row r="14" spans="1:13">
      <c r="A14" s="193" t="s">
        <v>815</v>
      </c>
      <c r="B14" s="193">
        <f>+'Staff requirements'!D27+'Staff requirements'!D28+'Staff requirements'!D29+'Staff requirements'!D30+'Staff requirements'!D31+'Staff requirements'!D32+'Staff requirements'!D33+'Staff requirements'!D34</f>
        <v>39000</v>
      </c>
      <c r="C14" s="193">
        <f>+'Staff requirements'!E27+'Staff requirements'!E28+'Staff requirements'!E29+'Staff requirements'!E30+'Staff requirements'!E31+'Staff requirements'!E32+'Staff requirements'!E33+'Staff requirements'!E34</f>
        <v>13000</v>
      </c>
      <c r="D14" s="193">
        <v>0</v>
      </c>
      <c r="E14" s="193">
        <f>+B14+C14+D14</f>
        <v>52000</v>
      </c>
      <c r="F14" s="193">
        <f>+'Staff requirements'!J27+'Staff requirements'!J28+'Staff requirements'!J29+'Staff requirements'!J30+'Staff requirements'!J31+'Staff requirements'!J32+'Staff requirements'!J33+'Staff requirements'!J34</f>
        <v>41250</v>
      </c>
      <c r="G14" s="193">
        <f>+'Staff requirements'!K27+'Staff requirements'!K28+'Staff requirements'!K29+'Staff requirements'!K30+'Staff requirements'!K31+'Staff requirements'!K32+'Staff requirements'!K33+'Staff requirements'!K34</f>
        <v>15250</v>
      </c>
      <c r="H14" s="193">
        <v>0</v>
      </c>
      <c r="I14" s="193">
        <f>+F14+G14+H14</f>
        <v>56500</v>
      </c>
      <c r="J14" s="193">
        <f>+I14-E14</f>
        <v>4500</v>
      </c>
      <c r="K14" s="193" t="s">
        <v>820</v>
      </c>
      <c r="L14" s="193">
        <v>4500</v>
      </c>
      <c r="M14" s="193"/>
    </row>
    <row r="15" spans="1:13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</row>
    <row r="16" spans="1:13">
      <c r="A16" s="193" t="s">
        <v>153</v>
      </c>
      <c r="B16" s="193">
        <v>13500</v>
      </c>
      <c r="C16" s="193">
        <v>0</v>
      </c>
      <c r="D16" s="193">
        <v>0</v>
      </c>
      <c r="E16" s="193">
        <f>+B16+C16+D16</f>
        <v>13500</v>
      </c>
      <c r="F16" s="193">
        <f>+'Staff requirements'!J36</f>
        <v>13500</v>
      </c>
      <c r="G16" s="193"/>
      <c r="H16" s="193"/>
      <c r="I16" s="193">
        <v>13500</v>
      </c>
      <c r="J16" s="193"/>
      <c r="K16" s="193"/>
      <c r="L16" s="193"/>
      <c r="M16" s="193"/>
    </row>
    <row r="17" spans="1:14">
      <c r="A17" s="193" t="s">
        <v>5</v>
      </c>
      <c r="B17" s="193">
        <f>SUM(B5:B16)</f>
        <v>88950</v>
      </c>
      <c r="C17" s="193">
        <f>SUM(C5:C16)</f>
        <v>25200</v>
      </c>
      <c r="D17" s="193">
        <f>SUM(D5:D16)</f>
        <v>2750</v>
      </c>
      <c r="E17" s="193">
        <f>+B17+C17+D17</f>
        <v>116900</v>
      </c>
      <c r="F17" s="193">
        <f>SUM(F5:F16)</f>
        <v>94550</v>
      </c>
      <c r="G17" s="193">
        <f>SUM(G5:G16)</f>
        <v>29450</v>
      </c>
      <c r="H17" s="193">
        <f>SUM(H5:H16)</f>
        <v>3500</v>
      </c>
      <c r="I17" s="193">
        <f>+F17+G17+H17</f>
        <v>127500</v>
      </c>
      <c r="J17" s="193"/>
      <c r="K17" s="193"/>
      <c r="L17" s="193">
        <f>SUM(L5:L16)</f>
        <v>11600</v>
      </c>
      <c r="M17" s="193"/>
    </row>
    <row r="18" spans="1:14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</row>
    <row r="19" spans="1:14">
      <c r="A19" s="193" t="s">
        <v>819</v>
      </c>
      <c r="B19" s="193"/>
      <c r="C19" s="193"/>
      <c r="D19" s="193"/>
      <c r="E19" s="193">
        <f>+E17*12</f>
        <v>1402800</v>
      </c>
      <c r="F19" s="193"/>
      <c r="G19" s="193"/>
      <c r="H19" s="193"/>
      <c r="I19" s="193">
        <f>+I17*12</f>
        <v>1530000</v>
      </c>
      <c r="J19" s="193"/>
      <c r="K19" s="193"/>
      <c r="L19" s="193">
        <f>+L17*12</f>
        <v>139200</v>
      </c>
      <c r="M19" s="193"/>
    </row>
    <row r="21" spans="1:14">
      <c r="A21" t="s">
        <v>832</v>
      </c>
      <c r="I21">
        <v>48000</v>
      </c>
    </row>
    <row r="23" spans="1:14">
      <c r="A23" t="s">
        <v>828</v>
      </c>
      <c r="I23">
        <f>+I21+I19</f>
        <v>1578000</v>
      </c>
      <c r="M23" t="s">
        <v>346</v>
      </c>
      <c r="N23">
        <v>1593600</v>
      </c>
    </row>
    <row r="24" spans="1:14">
      <c r="A24" t="s">
        <v>53</v>
      </c>
      <c r="I24">
        <v>118167</v>
      </c>
    </row>
    <row r="25" spans="1:14">
      <c r="A25" t="s">
        <v>54</v>
      </c>
      <c r="I25">
        <v>27500</v>
      </c>
    </row>
    <row r="26" spans="1:14">
      <c r="A26" t="s">
        <v>829</v>
      </c>
      <c r="I26">
        <v>66920</v>
      </c>
    </row>
    <row r="27" spans="1:14">
      <c r="A27" t="s">
        <v>56</v>
      </c>
      <c r="I27">
        <v>29368</v>
      </c>
    </row>
    <row r="28" spans="1:14">
      <c r="A28" t="s">
        <v>58</v>
      </c>
      <c r="I28">
        <f>+'GEN. O.H'!R12</f>
        <v>3872.0727272727268</v>
      </c>
    </row>
    <row r="29" spans="1:14">
      <c r="A29" t="s">
        <v>59</v>
      </c>
      <c r="I29">
        <f>+'GEN. O.H'!R13</f>
        <v>34018.58181818181</v>
      </c>
    </row>
    <row r="30" spans="1:14">
      <c r="A30" t="s">
        <v>831</v>
      </c>
      <c r="I30">
        <f>+'GEN. O.H'!R14</f>
        <v>37700.454545454537</v>
      </c>
    </row>
    <row r="31" spans="1:14">
      <c r="A31" t="s">
        <v>830</v>
      </c>
      <c r="I31">
        <f>+'GEN. O.H'!R15</f>
        <v>36013.749999999993</v>
      </c>
    </row>
    <row r="32" spans="1:14">
      <c r="A32" t="s">
        <v>153</v>
      </c>
      <c r="I32">
        <v>2500</v>
      </c>
    </row>
    <row r="34" spans="8:14">
      <c r="H34" t="s">
        <v>5</v>
      </c>
      <c r="I34">
        <f>SUM(I23:I32)</f>
        <v>1934059.8590909091</v>
      </c>
      <c r="M34" t="s">
        <v>346</v>
      </c>
      <c r="N34">
        <v>1593600</v>
      </c>
    </row>
  </sheetData>
  <mergeCells count="2">
    <mergeCell ref="B2:D2"/>
    <mergeCell ref="F2:H2"/>
  </mergeCells>
  <phoneticPr fontId="0" type="noConversion"/>
  <pageMargins left="0.75" right="0.75" top="1" bottom="1" header="0.5" footer="0.5"/>
  <pageSetup scale="7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3"/>
  <dimension ref="A1:Y520"/>
  <sheetViews>
    <sheetView topLeftCell="A3" workbookViewId="0">
      <selection activeCell="B24" sqref="B24"/>
    </sheetView>
  </sheetViews>
  <sheetFormatPr defaultRowHeight="12.75"/>
  <cols>
    <col min="1" max="1" width="12.7109375" customWidth="1"/>
    <col min="2" max="2" width="29.85546875" customWidth="1"/>
    <col min="3" max="3" width="10.42578125" customWidth="1"/>
    <col min="15" max="15" width="10.5703125" customWidth="1"/>
    <col min="16" max="16" width="11.140625" customWidth="1"/>
    <col min="17" max="17" width="9.7109375" customWidth="1"/>
  </cols>
  <sheetData>
    <row r="1" spans="1:16">
      <c r="A1" s="65" t="s">
        <v>41</v>
      </c>
      <c r="B1" s="65" t="s">
        <v>42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7"/>
      <c r="P1" s="67" t="s">
        <v>5</v>
      </c>
    </row>
    <row r="2" spans="1:16">
      <c r="A2" s="41"/>
      <c r="B2" s="65"/>
      <c r="C2" s="69">
        <v>36892</v>
      </c>
      <c r="D2" s="69">
        <v>36923</v>
      </c>
      <c r="E2" s="69">
        <v>36951</v>
      </c>
      <c r="F2" s="69">
        <v>36982</v>
      </c>
      <c r="G2" s="69">
        <v>37012</v>
      </c>
      <c r="H2" s="69">
        <v>37043</v>
      </c>
      <c r="I2" s="69">
        <v>37073</v>
      </c>
      <c r="J2" s="69">
        <v>37104</v>
      </c>
      <c r="K2" s="69">
        <v>37135</v>
      </c>
      <c r="L2" s="69">
        <v>37165</v>
      </c>
      <c r="M2" s="69">
        <v>37196</v>
      </c>
      <c r="N2" s="69">
        <v>37226</v>
      </c>
      <c r="O2" s="69" t="s">
        <v>5</v>
      </c>
      <c r="P2" s="67" t="s">
        <v>48</v>
      </c>
    </row>
    <row r="3" spans="1:16">
      <c r="A3" s="41"/>
      <c r="B3" s="65" t="s">
        <v>49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7"/>
      <c r="P3" s="72"/>
    </row>
    <row r="4" spans="1:16">
      <c r="A4" s="41"/>
      <c r="B4" s="6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7"/>
      <c r="P4" s="72"/>
    </row>
    <row r="5" spans="1:16">
      <c r="A5" s="41"/>
      <c r="B5" s="65" t="s">
        <v>11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/>
    </row>
    <row r="6" spans="1:16">
      <c r="A6" s="73" t="s">
        <v>50</v>
      </c>
      <c r="B6" s="11" t="s">
        <v>51</v>
      </c>
      <c r="C6" s="14"/>
      <c r="D6" s="14"/>
      <c r="E6" s="14"/>
      <c r="F6" s="14"/>
      <c r="G6" s="14"/>
      <c r="H6" s="14">
        <f>'GEN. O.H'!K5</f>
        <v>98050</v>
      </c>
      <c r="I6" s="14">
        <f>'GEN. O.H'!L5</f>
        <v>98050</v>
      </c>
      <c r="J6" s="14">
        <f>'GEN. O.H'!M5</f>
        <v>98050</v>
      </c>
      <c r="K6" s="14">
        <f>'GEN. O.H'!N5</f>
        <v>110550</v>
      </c>
      <c r="L6" s="14">
        <f>'GEN. O.H'!O5</f>
        <v>110550</v>
      </c>
      <c r="M6" s="14">
        <f>'GEN. O.H'!P5</f>
        <v>110550</v>
      </c>
      <c r="N6" s="14">
        <f>'GEN. O.H'!Q5</f>
        <v>110550</v>
      </c>
      <c r="O6" s="43">
        <f>SUM(C6:N6)</f>
        <v>736350</v>
      </c>
    </row>
    <row r="7" spans="1:16">
      <c r="A7" s="73" t="s">
        <v>50</v>
      </c>
      <c r="B7" s="79" t="s">
        <v>413</v>
      </c>
      <c r="C7" s="14"/>
      <c r="D7" s="14"/>
      <c r="E7" s="14"/>
      <c r="F7" s="14"/>
      <c r="G7" s="14"/>
      <c r="H7" s="14">
        <f>'GEN. O.H'!K6</f>
        <v>29450</v>
      </c>
      <c r="I7" s="14">
        <f>'GEN. O.H'!L6</f>
        <v>29450</v>
      </c>
      <c r="J7" s="14">
        <f>'GEN. O.H'!M6</f>
        <v>29450</v>
      </c>
      <c r="K7" s="14">
        <f>'GEN. O.H'!N6</f>
        <v>29450</v>
      </c>
      <c r="L7" s="14">
        <f>'GEN. O.H'!O6</f>
        <v>29450</v>
      </c>
      <c r="M7" s="14">
        <f>'GEN. O.H'!P6</f>
        <v>29450</v>
      </c>
      <c r="N7" s="14">
        <f>'GEN. O.H'!Q6</f>
        <v>29450</v>
      </c>
      <c r="O7" s="43">
        <f t="shared" ref="O7:O16" si="0">SUM(C7:N7)</f>
        <v>206150</v>
      </c>
    </row>
    <row r="8" spans="1:16">
      <c r="A8" s="73" t="s">
        <v>50</v>
      </c>
      <c r="B8" s="80" t="s">
        <v>53</v>
      </c>
      <c r="C8" s="14"/>
      <c r="D8" s="14"/>
      <c r="E8" s="14"/>
      <c r="F8" s="14"/>
      <c r="G8" s="14"/>
      <c r="H8" s="14">
        <f>'Staff Costs'!I191</f>
        <v>4000</v>
      </c>
      <c r="I8" s="14">
        <f>'Staff Costs'!J191</f>
        <v>32150</v>
      </c>
      <c r="J8" s="14">
        <f>'Staff Costs'!K191</f>
        <v>11100</v>
      </c>
      <c r="K8" s="14">
        <f>'Staff Costs'!L191</f>
        <v>0</v>
      </c>
      <c r="L8" s="14">
        <f>'Staff Costs'!M191</f>
        <v>0</v>
      </c>
      <c r="M8" s="14">
        <f>'Staff Costs'!N191</f>
        <v>18000</v>
      </c>
      <c r="N8" s="14">
        <f>'Staff Costs'!O191</f>
        <v>13750</v>
      </c>
      <c r="O8" s="43">
        <f t="shared" si="0"/>
        <v>79000</v>
      </c>
    </row>
    <row r="9" spans="1:16">
      <c r="A9" s="73" t="s">
        <v>50</v>
      </c>
      <c r="B9" t="s">
        <v>54</v>
      </c>
      <c r="C9" s="14"/>
      <c r="D9" s="14"/>
      <c r="E9" s="14"/>
      <c r="F9" s="14"/>
      <c r="G9" s="14"/>
      <c r="H9" s="14">
        <f>'Staff Costs'!I228</f>
        <v>0</v>
      </c>
      <c r="I9" s="14">
        <f>'Staff Costs'!J228</f>
        <v>0</v>
      </c>
      <c r="J9" s="14">
        <f>'Staff Costs'!K228</f>
        <v>2500</v>
      </c>
      <c r="K9" s="14">
        <f>'Staff Costs'!L228</f>
        <v>0</v>
      </c>
      <c r="L9" s="14">
        <f>'Staff Costs'!M228</f>
        <v>0</v>
      </c>
      <c r="M9" s="14">
        <f>'Staff Costs'!N228</f>
        <v>0</v>
      </c>
      <c r="N9" s="14">
        <f>'Staff Costs'!O228</f>
        <v>5000</v>
      </c>
      <c r="O9" s="43">
        <f t="shared" si="0"/>
        <v>7500</v>
      </c>
    </row>
    <row r="10" spans="1:16">
      <c r="A10" s="73" t="s">
        <v>50</v>
      </c>
      <c r="B10" t="s">
        <v>55</v>
      </c>
      <c r="C10" s="14"/>
      <c r="D10" s="14"/>
      <c r="E10" s="14"/>
      <c r="F10" s="14"/>
      <c r="G10" s="14"/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43">
        <f t="shared" si="0"/>
        <v>0</v>
      </c>
    </row>
    <row r="11" spans="1:16">
      <c r="A11" s="73" t="s">
        <v>50</v>
      </c>
      <c r="B11" t="s">
        <v>56</v>
      </c>
      <c r="C11" s="14"/>
      <c r="D11" s="14"/>
      <c r="E11" s="14"/>
      <c r="F11" s="14"/>
      <c r="G11" s="14"/>
      <c r="H11" s="14"/>
      <c r="I11" s="14">
        <v>6475</v>
      </c>
      <c r="J11" s="14"/>
      <c r="K11" s="14"/>
      <c r="L11" s="14">
        <v>6475</v>
      </c>
      <c r="M11" s="14"/>
      <c r="N11" s="14">
        <v>2800</v>
      </c>
      <c r="O11" s="43">
        <f t="shared" si="0"/>
        <v>15750</v>
      </c>
    </row>
    <row r="12" spans="1:16">
      <c r="A12" s="73" t="s">
        <v>50</v>
      </c>
      <c r="B12" t="s">
        <v>58</v>
      </c>
      <c r="C12" s="14"/>
      <c r="D12" s="14"/>
      <c r="E12" s="14"/>
      <c r="F12" s="14"/>
      <c r="G12" s="14"/>
      <c r="H12" s="14">
        <v>500</v>
      </c>
      <c r="I12" s="14">
        <v>500</v>
      </c>
      <c r="J12" s="14">
        <v>500</v>
      </c>
      <c r="K12" s="14">
        <v>500</v>
      </c>
      <c r="L12" s="14">
        <v>500</v>
      </c>
      <c r="M12" s="14">
        <v>500</v>
      </c>
      <c r="N12" s="14">
        <v>500</v>
      </c>
      <c r="O12" s="43">
        <f t="shared" si="0"/>
        <v>3500</v>
      </c>
    </row>
    <row r="13" spans="1:16">
      <c r="A13" s="73" t="s">
        <v>50</v>
      </c>
      <c r="B13" t="s">
        <v>59</v>
      </c>
      <c r="C13" s="14"/>
      <c r="D13" s="14"/>
      <c r="E13" s="14"/>
      <c r="F13" s="14"/>
      <c r="G13" s="14"/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43">
        <f t="shared" si="0"/>
        <v>0</v>
      </c>
    </row>
    <row r="14" spans="1:16">
      <c r="A14" s="73" t="s">
        <v>50</v>
      </c>
      <c r="B14" s="21" t="s">
        <v>61</v>
      </c>
      <c r="C14" s="14"/>
      <c r="D14" s="14"/>
      <c r="E14" s="14"/>
      <c r="F14" s="14"/>
      <c r="G14" s="14"/>
      <c r="H14" s="14">
        <f>'GEN. O.H'!K14</f>
        <v>3141.7045454545455</v>
      </c>
      <c r="I14" s="14">
        <f>'GEN. O.H'!L14</f>
        <v>3141.7045454545455</v>
      </c>
      <c r="J14" s="14">
        <f>'GEN. O.H'!M14</f>
        <v>3141.7045454545455</v>
      </c>
      <c r="K14" s="14">
        <f>'GEN. O.H'!N14</f>
        <v>3141.7045454545455</v>
      </c>
      <c r="L14" s="14">
        <f>'GEN. O.H'!O14</f>
        <v>3141.7045454545455</v>
      </c>
      <c r="M14" s="14">
        <f>'GEN. O.H'!P14</f>
        <v>3141.7045454545455</v>
      </c>
      <c r="N14" s="14">
        <f>'GEN. O.H'!Q14</f>
        <v>3141.7045454545455</v>
      </c>
      <c r="O14" s="43">
        <f t="shared" si="0"/>
        <v>21991.931818181816</v>
      </c>
    </row>
    <row r="15" spans="1:16">
      <c r="A15" s="73" t="s">
        <v>50</v>
      </c>
      <c r="B15" s="21" t="s">
        <v>62</v>
      </c>
      <c r="C15" s="14"/>
      <c r="D15" s="14"/>
      <c r="E15" s="14"/>
      <c r="F15" s="14"/>
      <c r="G15" s="14"/>
      <c r="H15" s="14">
        <f>'GEN. O.H'!K15</f>
        <v>3001.145833333333</v>
      </c>
      <c r="I15" s="14">
        <f>'GEN. O.H'!L15</f>
        <v>3001.145833333333</v>
      </c>
      <c r="J15" s="14">
        <f>'GEN. O.H'!M15</f>
        <v>3001.145833333333</v>
      </c>
      <c r="K15" s="14">
        <f>'GEN. O.H'!N15</f>
        <v>3001.145833333333</v>
      </c>
      <c r="L15" s="14">
        <f>'GEN. O.H'!O15</f>
        <v>3001.145833333333</v>
      </c>
      <c r="M15" s="14">
        <f>'GEN. O.H'!P15</f>
        <v>3001.145833333333</v>
      </c>
      <c r="N15" s="14">
        <f>'GEN. O.H'!Q15</f>
        <v>3001.145833333333</v>
      </c>
      <c r="O15" s="43">
        <f t="shared" si="0"/>
        <v>21008.020833333328</v>
      </c>
    </row>
    <row r="16" spans="1:16">
      <c r="A16" s="73" t="s">
        <v>50</v>
      </c>
      <c r="B16" s="21" t="s">
        <v>414</v>
      </c>
      <c r="C16" s="14"/>
      <c r="D16" s="14"/>
      <c r="E16" s="14"/>
      <c r="F16" s="14"/>
      <c r="G16" s="14"/>
      <c r="H16" s="14">
        <f>'[2]GEN. O.H'!J16</f>
        <v>0</v>
      </c>
      <c r="I16" s="14">
        <f>'[2]GEN. O.H'!K16</f>
        <v>0</v>
      </c>
      <c r="J16" s="14">
        <f>'[2]GEN. O.H'!L16</f>
        <v>0</v>
      </c>
      <c r="K16" s="14">
        <f>'GEN. O.H'!N16</f>
        <v>0</v>
      </c>
      <c r="L16" s="14"/>
      <c r="M16" s="14">
        <f>'[2]GEN. O.H'!O16</f>
        <v>0</v>
      </c>
      <c r="N16" s="14">
        <f>'[2]GEN. O.H'!P16</f>
        <v>0</v>
      </c>
      <c r="O16" s="43">
        <f t="shared" si="0"/>
        <v>0</v>
      </c>
    </row>
    <row r="17" spans="1:16">
      <c r="A17" s="41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43"/>
    </row>
    <row r="18" spans="1:16">
      <c r="A18" s="41"/>
      <c r="B18" s="82" t="s">
        <v>63</v>
      </c>
      <c r="C18" s="51">
        <f t="shared" ref="C18:O18" si="1">SUM(C6:C17)</f>
        <v>0</v>
      </c>
      <c r="D18" s="51">
        <f t="shared" si="1"/>
        <v>0</v>
      </c>
      <c r="E18" s="51">
        <f t="shared" si="1"/>
        <v>0</v>
      </c>
      <c r="F18" s="51">
        <f t="shared" si="1"/>
        <v>0</v>
      </c>
      <c r="G18" s="51"/>
      <c r="H18" s="51">
        <f t="shared" si="1"/>
        <v>138142.8503787879</v>
      </c>
      <c r="I18" s="51">
        <f t="shared" si="1"/>
        <v>172767.8503787879</v>
      </c>
      <c r="J18" s="51">
        <f t="shared" si="1"/>
        <v>147742.8503787879</v>
      </c>
      <c r="K18" s="51">
        <f t="shared" si="1"/>
        <v>146642.8503787879</v>
      </c>
      <c r="L18" s="51">
        <f t="shared" si="1"/>
        <v>153117.8503787879</v>
      </c>
      <c r="M18" s="51">
        <f t="shared" si="1"/>
        <v>164642.8503787879</v>
      </c>
      <c r="N18" s="51">
        <f t="shared" si="1"/>
        <v>168192.8503787879</v>
      </c>
      <c r="O18" s="87">
        <f t="shared" si="1"/>
        <v>1091249.9526515151</v>
      </c>
      <c r="P18" s="45">
        <f>SUM(C18:N18)</f>
        <v>1091249.9526515151</v>
      </c>
    </row>
    <row r="19" spans="1:16">
      <c r="A19" s="41"/>
      <c r="B19" s="1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43">
        <f>SUM(C19:I19)</f>
        <v>0</v>
      </c>
    </row>
    <row r="20" spans="1:16">
      <c r="A20" s="73"/>
      <c r="B20" s="65" t="s">
        <v>64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7"/>
    </row>
    <row r="21" spans="1:16">
      <c r="A21" s="29" t="s">
        <v>50</v>
      </c>
      <c r="B21" s="4" t="s">
        <v>65</v>
      </c>
      <c r="C21" s="14"/>
      <c r="D21" s="14"/>
      <c r="E21" s="14"/>
      <c r="F21" s="14"/>
      <c r="G21" s="14"/>
      <c r="H21" s="14">
        <v>114256</v>
      </c>
      <c r="I21" s="14"/>
      <c r="J21" s="14"/>
      <c r="K21" s="14"/>
      <c r="L21" s="14">
        <v>114256</v>
      </c>
      <c r="M21" s="14"/>
      <c r="N21" s="14"/>
      <c r="O21" s="43">
        <f t="shared" ref="O21:O39" si="2">SUM(C21:N21)</f>
        <v>228512</v>
      </c>
    </row>
    <row r="22" spans="1:16">
      <c r="A22" s="29" t="s">
        <v>50</v>
      </c>
      <c r="B22" s="4" t="s">
        <v>66</v>
      </c>
      <c r="C22" s="14"/>
      <c r="D22" s="14"/>
      <c r="E22" s="14"/>
      <c r="F22" s="14"/>
      <c r="G22" s="14"/>
      <c r="H22" s="14">
        <v>1000</v>
      </c>
      <c r="I22" s="14">
        <v>1000</v>
      </c>
      <c r="J22" s="14">
        <v>1000</v>
      </c>
      <c r="K22" s="14">
        <v>1000</v>
      </c>
      <c r="L22" s="14">
        <v>1000</v>
      </c>
      <c r="M22" s="14">
        <v>1000</v>
      </c>
      <c r="N22" s="14">
        <v>1000</v>
      </c>
      <c r="O22" s="43">
        <f t="shared" si="2"/>
        <v>7000</v>
      </c>
    </row>
    <row r="23" spans="1:16">
      <c r="A23" s="29" t="s">
        <v>50</v>
      </c>
      <c r="B23" s="4" t="s">
        <v>67</v>
      </c>
      <c r="C23" s="14"/>
      <c r="D23" s="14"/>
      <c r="E23" s="14"/>
      <c r="F23" s="14"/>
      <c r="G23" s="14"/>
      <c r="H23" s="14">
        <v>7000</v>
      </c>
      <c r="I23" s="14">
        <v>7000</v>
      </c>
      <c r="J23" s="14">
        <v>7000</v>
      </c>
      <c r="K23" s="14">
        <v>7000</v>
      </c>
      <c r="L23" s="14">
        <v>7000</v>
      </c>
      <c r="M23" s="14">
        <v>7000</v>
      </c>
      <c r="N23" s="14">
        <v>7000</v>
      </c>
      <c r="O23" s="43">
        <f t="shared" si="2"/>
        <v>49000</v>
      </c>
    </row>
    <row r="24" spans="1:16">
      <c r="A24" s="29" t="s">
        <v>50</v>
      </c>
      <c r="B24" s="4" t="s">
        <v>68</v>
      </c>
      <c r="C24" s="14"/>
      <c r="D24" s="14"/>
      <c r="E24" s="14"/>
      <c r="F24" s="14"/>
      <c r="G24" s="14"/>
      <c r="H24" s="14">
        <v>500</v>
      </c>
      <c r="I24" s="14">
        <v>500</v>
      </c>
      <c r="J24" s="14">
        <v>500</v>
      </c>
      <c r="K24" s="14">
        <v>500</v>
      </c>
      <c r="L24" s="14">
        <v>500</v>
      </c>
      <c r="M24" s="14">
        <v>500</v>
      </c>
      <c r="N24" s="14">
        <v>500</v>
      </c>
      <c r="O24" s="43">
        <f t="shared" si="2"/>
        <v>3500</v>
      </c>
    </row>
    <row r="25" spans="1:16">
      <c r="A25" s="29" t="s">
        <v>50</v>
      </c>
      <c r="B25" s="4" t="s">
        <v>69</v>
      </c>
      <c r="C25" s="14"/>
      <c r="D25" s="14"/>
      <c r="E25" s="14"/>
      <c r="F25" s="14"/>
      <c r="G25" s="14"/>
      <c r="H25" s="14">
        <v>150</v>
      </c>
      <c r="I25" s="14">
        <v>150</v>
      </c>
      <c r="J25" s="14">
        <v>150</v>
      </c>
      <c r="K25" s="14">
        <v>150</v>
      </c>
      <c r="L25" s="14">
        <v>150</v>
      </c>
      <c r="M25" s="14">
        <v>150</v>
      </c>
      <c r="N25" s="14">
        <v>150</v>
      </c>
      <c r="O25" s="43">
        <f t="shared" si="2"/>
        <v>1050</v>
      </c>
    </row>
    <row r="26" spans="1:16">
      <c r="A26" s="29" t="s">
        <v>50</v>
      </c>
      <c r="B26" s="4" t="s">
        <v>70</v>
      </c>
      <c r="C26" s="14"/>
      <c r="D26" s="14"/>
      <c r="E26" s="14"/>
      <c r="F26" s="14"/>
      <c r="G26" s="14"/>
      <c r="H26" s="14">
        <v>400</v>
      </c>
      <c r="I26" s="14">
        <v>400</v>
      </c>
      <c r="J26" s="14">
        <v>400</v>
      </c>
      <c r="K26" s="14">
        <v>400</v>
      </c>
      <c r="L26" s="14">
        <v>400</v>
      </c>
      <c r="M26" s="14">
        <v>400</v>
      </c>
      <c r="N26" s="14">
        <v>400</v>
      </c>
      <c r="O26" s="43">
        <f t="shared" si="2"/>
        <v>2800</v>
      </c>
    </row>
    <row r="27" spans="1:16">
      <c r="A27" s="29" t="s">
        <v>50</v>
      </c>
      <c r="B27" s="4" t="s">
        <v>71</v>
      </c>
      <c r="C27" s="14"/>
      <c r="D27" s="14"/>
      <c r="E27" s="14"/>
      <c r="F27" s="14"/>
      <c r="G27" s="14"/>
      <c r="H27" s="14">
        <v>4500</v>
      </c>
      <c r="I27" s="14">
        <v>4500</v>
      </c>
      <c r="J27" s="14">
        <v>4500</v>
      </c>
      <c r="K27" s="14">
        <v>4500</v>
      </c>
      <c r="L27" s="14">
        <v>4500</v>
      </c>
      <c r="M27" s="14">
        <v>4500</v>
      </c>
      <c r="N27" s="14">
        <v>4500</v>
      </c>
      <c r="O27" s="43">
        <f t="shared" si="2"/>
        <v>31500</v>
      </c>
    </row>
    <row r="28" spans="1:16">
      <c r="A28" s="29" t="s">
        <v>50</v>
      </c>
      <c r="B28" s="4" t="s">
        <v>72</v>
      </c>
      <c r="C28" s="14"/>
      <c r="D28" s="14"/>
      <c r="E28" s="14"/>
      <c r="F28" s="14"/>
      <c r="G28" s="14"/>
      <c r="H28" s="14">
        <v>1250</v>
      </c>
      <c r="I28" s="14">
        <v>1250</v>
      </c>
      <c r="J28" s="14">
        <v>1250</v>
      </c>
      <c r="K28" s="14">
        <v>1250</v>
      </c>
      <c r="L28" s="14">
        <v>1250</v>
      </c>
      <c r="M28" s="14">
        <v>1250</v>
      </c>
      <c r="N28" s="14">
        <v>1250</v>
      </c>
      <c r="O28" s="43">
        <f t="shared" si="2"/>
        <v>8750</v>
      </c>
    </row>
    <row r="29" spans="1:16">
      <c r="A29" s="29"/>
      <c r="B29" s="4" t="s">
        <v>73</v>
      </c>
      <c r="C29" s="14"/>
      <c r="D29" s="14"/>
      <c r="E29" s="14"/>
      <c r="F29" s="14"/>
      <c r="G29" s="14"/>
      <c r="H29" s="14">
        <f>'[2]GEN. O.H'!I29</f>
        <v>0</v>
      </c>
      <c r="I29" s="14">
        <f>'[2]GEN. O.H'!J29</f>
        <v>0</v>
      </c>
      <c r="J29" s="14">
        <f>'[2]GEN. O.H'!K29</f>
        <v>0</v>
      </c>
      <c r="K29" s="14">
        <f>'[2]GEN. O.H'!L29</f>
        <v>0</v>
      </c>
      <c r="L29" s="14">
        <f>'[2]GEN. O.H'!M29</f>
        <v>0</v>
      </c>
      <c r="M29" s="14">
        <f>'[2]GEN. O.H'!N29</f>
        <v>0</v>
      </c>
      <c r="N29" s="14">
        <f>'[2]GEN. O.H'!O29</f>
        <v>0</v>
      </c>
      <c r="O29" s="43">
        <f t="shared" si="2"/>
        <v>0</v>
      </c>
    </row>
    <row r="30" spans="1:16">
      <c r="A30" s="73" t="s">
        <v>50</v>
      </c>
      <c r="B30" t="s">
        <v>74</v>
      </c>
      <c r="C30" s="14"/>
      <c r="D30" s="14"/>
      <c r="E30" s="14"/>
      <c r="F30" s="14"/>
      <c r="G30" s="14"/>
      <c r="H30" s="14">
        <v>1000</v>
      </c>
      <c r="I30" s="14">
        <v>1000</v>
      </c>
      <c r="J30" s="14">
        <v>1000</v>
      </c>
      <c r="K30" s="14">
        <v>1000</v>
      </c>
      <c r="L30" s="14">
        <v>1000</v>
      </c>
      <c r="M30" s="14">
        <v>1000</v>
      </c>
      <c r="N30" s="14">
        <v>1000</v>
      </c>
      <c r="O30" s="43">
        <f t="shared" si="2"/>
        <v>7000</v>
      </c>
    </row>
    <row r="31" spans="1:16">
      <c r="A31" s="265" t="s">
        <v>50</v>
      </c>
      <c r="B31" s="4" t="s">
        <v>75</v>
      </c>
      <c r="C31" s="14"/>
      <c r="D31" s="14"/>
      <c r="E31" s="14"/>
      <c r="F31" s="14"/>
      <c r="G31" s="14"/>
      <c r="H31" s="14">
        <v>1000</v>
      </c>
      <c r="I31" s="14">
        <v>1000</v>
      </c>
      <c r="J31" s="14">
        <v>1000</v>
      </c>
      <c r="K31" s="14">
        <v>15000</v>
      </c>
      <c r="L31" s="14">
        <v>1000</v>
      </c>
      <c r="M31" s="14">
        <v>1000</v>
      </c>
      <c r="N31" s="14">
        <v>1000</v>
      </c>
      <c r="O31" s="43">
        <f>SUM(C31:N31)</f>
        <v>21000</v>
      </c>
    </row>
    <row r="32" spans="1:16">
      <c r="A32" s="29" t="s">
        <v>50</v>
      </c>
      <c r="B32" s="4" t="s">
        <v>76</v>
      </c>
      <c r="C32" s="14"/>
      <c r="D32" s="14"/>
      <c r="E32" s="14"/>
      <c r="F32" s="14"/>
      <c r="G32" s="14"/>
      <c r="H32" s="14">
        <v>1000</v>
      </c>
      <c r="I32" s="14">
        <v>1000</v>
      </c>
      <c r="J32" s="14">
        <v>1000</v>
      </c>
      <c r="K32" s="14">
        <v>1000</v>
      </c>
      <c r="L32" s="14">
        <v>1000</v>
      </c>
      <c r="M32" s="14">
        <v>1000</v>
      </c>
      <c r="N32" s="14">
        <v>1000</v>
      </c>
      <c r="O32" s="43">
        <f t="shared" si="2"/>
        <v>7000</v>
      </c>
    </row>
    <row r="33" spans="1:16">
      <c r="A33" s="29" t="s">
        <v>50</v>
      </c>
      <c r="B33" s="4" t="s">
        <v>77</v>
      </c>
      <c r="C33" s="14"/>
      <c r="D33" s="14"/>
      <c r="E33" s="14"/>
      <c r="F33" s="14"/>
      <c r="G33" s="14"/>
      <c r="H33" s="14">
        <v>100</v>
      </c>
      <c r="I33" s="14">
        <v>100</v>
      </c>
      <c r="J33" s="14">
        <v>100</v>
      </c>
      <c r="K33" s="14">
        <v>100</v>
      </c>
      <c r="L33" s="14">
        <v>100</v>
      </c>
      <c r="M33" s="14">
        <v>100</v>
      </c>
      <c r="N33" s="14">
        <v>100</v>
      </c>
      <c r="O33" s="43">
        <f t="shared" si="2"/>
        <v>700</v>
      </c>
    </row>
    <row r="34" spans="1:16">
      <c r="A34" s="29" t="s">
        <v>50</v>
      </c>
      <c r="B34" s="4" t="s">
        <v>78</v>
      </c>
      <c r="C34" s="14"/>
      <c r="D34" s="14"/>
      <c r="E34" s="14"/>
      <c r="F34" s="14"/>
      <c r="G34" s="14"/>
      <c r="H34" s="14">
        <v>100</v>
      </c>
      <c r="I34" s="14">
        <v>100</v>
      </c>
      <c r="J34" s="14">
        <v>100</v>
      </c>
      <c r="K34" s="14">
        <v>100</v>
      </c>
      <c r="L34" s="14">
        <v>100</v>
      </c>
      <c r="M34" s="14">
        <v>100</v>
      </c>
      <c r="N34" s="14">
        <v>100</v>
      </c>
      <c r="O34" s="43">
        <f t="shared" si="2"/>
        <v>700</v>
      </c>
    </row>
    <row r="35" spans="1:16">
      <c r="A35" s="29" t="s">
        <v>50</v>
      </c>
      <c r="B35" s="4" t="s">
        <v>79</v>
      </c>
      <c r="C35" s="14"/>
      <c r="D35" s="14"/>
      <c r="E35" s="14"/>
      <c r="F35" s="14"/>
      <c r="G35" s="14"/>
      <c r="H35" s="14">
        <v>900</v>
      </c>
      <c r="I35" s="14">
        <f>'[2]GEN. O.H'!J35</f>
        <v>0</v>
      </c>
      <c r="J35" s="14"/>
      <c r="K35" s="14">
        <v>900</v>
      </c>
      <c r="L35" s="14">
        <f>'[2]GEN. O.H'!M35</f>
        <v>0</v>
      </c>
      <c r="M35" s="14"/>
      <c r="N35" s="14">
        <v>900</v>
      </c>
      <c r="O35" s="43">
        <f t="shared" si="2"/>
        <v>2700</v>
      </c>
    </row>
    <row r="36" spans="1:16">
      <c r="A36" s="29" t="s">
        <v>50</v>
      </c>
      <c r="B36" s="4" t="s">
        <v>80</v>
      </c>
      <c r="C36" s="14"/>
      <c r="D36" s="14"/>
      <c r="E36" s="14"/>
      <c r="F36" s="14"/>
      <c r="G36" s="14"/>
      <c r="H36" s="14">
        <v>200</v>
      </c>
      <c r="I36" s="14">
        <v>200</v>
      </c>
      <c r="J36" s="14">
        <v>200</v>
      </c>
      <c r="K36" s="14">
        <v>200</v>
      </c>
      <c r="L36" s="14">
        <v>200</v>
      </c>
      <c r="M36" s="14">
        <v>200</v>
      </c>
      <c r="N36" s="14">
        <v>200</v>
      </c>
      <c r="O36" s="43">
        <f t="shared" si="2"/>
        <v>1400</v>
      </c>
    </row>
    <row r="37" spans="1:16">
      <c r="A37" s="29" t="s">
        <v>50</v>
      </c>
      <c r="B37" s="4" t="s">
        <v>81</v>
      </c>
      <c r="C37" s="14"/>
      <c r="D37" s="14"/>
      <c r="E37" s="14"/>
      <c r="F37" s="14"/>
      <c r="G37" s="14"/>
      <c r="H37" s="14">
        <f>3675+7350</f>
        <v>11025</v>
      </c>
      <c r="I37" s="14">
        <v>8625</v>
      </c>
      <c r="J37" s="14"/>
      <c r="K37" s="14"/>
      <c r="L37" s="14"/>
      <c r="M37" s="14"/>
      <c r="N37" s="14">
        <v>7350</v>
      </c>
      <c r="O37" s="43">
        <f t="shared" si="2"/>
        <v>27000</v>
      </c>
      <c r="P37" s="45"/>
    </row>
    <row r="38" spans="1:16">
      <c r="A38" s="29" t="s">
        <v>50</v>
      </c>
      <c r="B38" s="4" t="s">
        <v>82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43">
        <f t="shared" si="2"/>
        <v>0</v>
      </c>
      <c r="P38" s="45"/>
    </row>
    <row r="39" spans="1:16">
      <c r="A39" s="29"/>
      <c r="B39" s="4" t="s">
        <v>60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43">
        <f t="shared" si="2"/>
        <v>0</v>
      </c>
      <c r="P39" s="45"/>
    </row>
    <row r="40" spans="1:16">
      <c r="A40" s="29"/>
      <c r="B40" s="82" t="s">
        <v>83</v>
      </c>
      <c r="C40" s="51">
        <f t="shared" ref="C40:O40" si="3">SUM(C21:C39)</f>
        <v>0</v>
      </c>
      <c r="D40" s="51">
        <f t="shared" si="3"/>
        <v>0</v>
      </c>
      <c r="E40" s="51">
        <f t="shared" si="3"/>
        <v>0</v>
      </c>
      <c r="F40" s="51">
        <f t="shared" si="3"/>
        <v>0</v>
      </c>
      <c r="G40" s="51">
        <f t="shared" si="3"/>
        <v>0</v>
      </c>
      <c r="H40" s="51">
        <f t="shared" si="3"/>
        <v>144381</v>
      </c>
      <c r="I40" s="51">
        <f t="shared" si="3"/>
        <v>26825</v>
      </c>
      <c r="J40" s="51">
        <f t="shared" si="3"/>
        <v>18200</v>
      </c>
      <c r="K40" s="51">
        <f t="shared" si="3"/>
        <v>33100</v>
      </c>
      <c r="L40" s="51">
        <f t="shared" si="3"/>
        <v>132456</v>
      </c>
      <c r="M40" s="51">
        <f t="shared" si="3"/>
        <v>18200</v>
      </c>
      <c r="N40" s="51">
        <f t="shared" si="3"/>
        <v>26450</v>
      </c>
      <c r="O40" s="87">
        <f t="shared" si="3"/>
        <v>399612</v>
      </c>
      <c r="P40" s="45">
        <f>SUM(C40:N40)</f>
        <v>399612</v>
      </c>
    </row>
    <row r="41" spans="1:16">
      <c r="A41" s="29"/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53"/>
    </row>
    <row r="42" spans="1:16">
      <c r="A42" s="29"/>
      <c r="B42" s="47" t="s">
        <v>84</v>
      </c>
      <c r="C42" s="273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43"/>
      <c r="P42" s="14"/>
    </row>
    <row r="43" spans="1:16">
      <c r="A43" s="29" t="s">
        <v>50</v>
      </c>
      <c r="B43" s="4" t="s">
        <v>85</v>
      </c>
      <c r="C43" s="14"/>
      <c r="D43" s="14"/>
      <c r="E43" s="14"/>
      <c r="F43" s="14"/>
      <c r="G43" s="14"/>
      <c r="H43" s="14">
        <v>750</v>
      </c>
      <c r="I43" s="14">
        <v>750</v>
      </c>
      <c r="J43" s="14">
        <v>750</v>
      </c>
      <c r="K43" s="14">
        <v>750</v>
      </c>
      <c r="L43" s="14">
        <v>750</v>
      </c>
      <c r="M43" s="14">
        <v>750</v>
      </c>
      <c r="N43" s="14">
        <v>750</v>
      </c>
      <c r="O43" s="43">
        <f>SUM(C43:N43)</f>
        <v>5250</v>
      </c>
      <c r="P43" s="14"/>
    </row>
    <row r="44" spans="1:16">
      <c r="A44" s="29" t="s">
        <v>50</v>
      </c>
      <c r="B44" s="4" t="s">
        <v>86</v>
      </c>
      <c r="C44" s="14"/>
      <c r="D44" s="14"/>
      <c r="E44" s="14"/>
      <c r="F44" s="14"/>
      <c r="G44" s="14"/>
      <c r="H44" s="14">
        <v>800</v>
      </c>
      <c r="I44" s="14">
        <v>800</v>
      </c>
      <c r="J44" s="14">
        <v>800</v>
      </c>
      <c r="K44" s="14">
        <v>800</v>
      </c>
      <c r="L44" s="14">
        <v>800</v>
      </c>
      <c r="M44" s="14">
        <v>800</v>
      </c>
      <c r="N44" s="14">
        <v>800</v>
      </c>
      <c r="O44" s="43">
        <f>SUM(C44:N44)</f>
        <v>5600</v>
      </c>
      <c r="P44" s="14"/>
    </row>
    <row r="45" spans="1:16">
      <c r="A45" s="29"/>
      <c r="B45" s="21"/>
      <c r="C45" s="27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43"/>
      <c r="P45" s="14"/>
    </row>
    <row r="46" spans="1:16">
      <c r="A46" s="29"/>
      <c r="B46" s="82" t="s">
        <v>87</v>
      </c>
      <c r="C46" s="312">
        <f>SUM(C43:C45)</f>
        <v>0</v>
      </c>
      <c r="D46" s="51">
        <f>SUM(D43:D45)</f>
        <v>0</v>
      </c>
      <c r="E46" s="51">
        <f t="shared" ref="E46:O46" si="4">SUM(E43:E45)</f>
        <v>0</v>
      </c>
      <c r="F46" s="51">
        <f t="shared" si="4"/>
        <v>0</v>
      </c>
      <c r="G46" s="51">
        <f t="shared" si="4"/>
        <v>0</v>
      </c>
      <c r="H46" s="51">
        <f t="shared" si="4"/>
        <v>1550</v>
      </c>
      <c r="I46" s="51">
        <f t="shared" si="4"/>
        <v>1550</v>
      </c>
      <c r="J46" s="51">
        <f t="shared" si="4"/>
        <v>1550</v>
      </c>
      <c r="K46" s="51">
        <f t="shared" si="4"/>
        <v>1550</v>
      </c>
      <c r="L46" s="51">
        <f t="shared" si="4"/>
        <v>1550</v>
      </c>
      <c r="M46" s="51">
        <f t="shared" si="4"/>
        <v>1550</v>
      </c>
      <c r="N46" s="51">
        <f t="shared" si="4"/>
        <v>1550</v>
      </c>
      <c r="O46" s="87">
        <f t="shared" si="4"/>
        <v>10850</v>
      </c>
      <c r="P46" s="313">
        <f>SUM(C46:N46)</f>
        <v>10850</v>
      </c>
    </row>
    <row r="47" spans="1:16">
      <c r="A47" s="29"/>
      <c r="B47" s="94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8"/>
      <c r="P47" s="313"/>
    </row>
    <row r="48" spans="1:16">
      <c r="A48" s="73"/>
      <c r="B48" s="47" t="s">
        <v>13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43"/>
      <c r="P48" s="313"/>
    </row>
    <row r="49" spans="1:16">
      <c r="A49" s="73" t="s">
        <v>50</v>
      </c>
      <c r="B49" s="21" t="s">
        <v>88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>
        <f>C49</f>
        <v>0</v>
      </c>
      <c r="O49" s="43">
        <f>SUM(C49:N49)</f>
        <v>0</v>
      </c>
      <c r="P49" s="313"/>
    </row>
    <row r="50" spans="1:16">
      <c r="A50" s="73" t="s">
        <v>50</v>
      </c>
      <c r="B50" s="21" t="s">
        <v>415</v>
      </c>
      <c r="C50" s="14"/>
      <c r="D50" s="14"/>
      <c r="E50" s="14"/>
      <c r="F50" s="14"/>
      <c r="G50" s="14"/>
      <c r="H50" s="14">
        <v>2000</v>
      </c>
      <c r="I50" s="14">
        <v>2000</v>
      </c>
      <c r="J50" s="14">
        <v>2000</v>
      </c>
      <c r="K50" s="14">
        <v>2000</v>
      </c>
      <c r="L50" s="14">
        <v>2000</v>
      </c>
      <c r="M50" s="14">
        <v>2000</v>
      </c>
      <c r="N50" s="14">
        <v>2000</v>
      </c>
      <c r="O50" s="43">
        <f>SUM(C50:N50)</f>
        <v>14000</v>
      </c>
      <c r="P50" s="313"/>
    </row>
    <row r="51" spans="1:16">
      <c r="A51" s="73"/>
      <c r="B51" s="21" t="s">
        <v>185</v>
      </c>
      <c r="C51" s="14"/>
      <c r="D51" s="14"/>
      <c r="E51" s="14"/>
      <c r="F51" s="14"/>
      <c r="G51" s="14"/>
      <c r="H51" s="14">
        <v>300</v>
      </c>
      <c r="I51" s="14">
        <v>300</v>
      </c>
      <c r="J51" s="14">
        <v>300</v>
      </c>
      <c r="K51" s="14">
        <v>300</v>
      </c>
      <c r="L51" s="14">
        <v>300</v>
      </c>
      <c r="M51" s="14">
        <v>300</v>
      </c>
      <c r="N51" s="14">
        <v>300</v>
      </c>
      <c r="O51" s="43">
        <f>SUM(C51:N51)</f>
        <v>2100</v>
      </c>
      <c r="P51" s="313"/>
    </row>
    <row r="52" spans="1:16">
      <c r="A52" s="73"/>
      <c r="B52" s="21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43"/>
      <c r="P52" s="313"/>
    </row>
    <row r="53" spans="1:16">
      <c r="A53" s="73"/>
      <c r="B53" s="165" t="s">
        <v>89</v>
      </c>
      <c r="C53" s="51">
        <f t="shared" ref="C53:O53" si="5">SUM(C49:C51)</f>
        <v>0</v>
      </c>
      <c r="D53" s="51">
        <f t="shared" si="5"/>
        <v>0</v>
      </c>
      <c r="E53" s="51">
        <f t="shared" si="5"/>
        <v>0</v>
      </c>
      <c r="F53" s="51">
        <f t="shared" si="5"/>
        <v>0</v>
      </c>
      <c r="G53" s="51">
        <f t="shared" si="5"/>
        <v>0</v>
      </c>
      <c r="H53" s="51">
        <f t="shared" si="5"/>
        <v>2300</v>
      </c>
      <c r="I53" s="51">
        <f t="shared" si="5"/>
        <v>2300</v>
      </c>
      <c r="J53" s="51">
        <f t="shared" si="5"/>
        <v>2300</v>
      </c>
      <c r="K53" s="51">
        <f t="shared" si="5"/>
        <v>2300</v>
      </c>
      <c r="L53" s="51">
        <f t="shared" si="5"/>
        <v>2300</v>
      </c>
      <c r="M53" s="51">
        <f t="shared" si="5"/>
        <v>2300</v>
      </c>
      <c r="N53" s="51">
        <f t="shared" si="5"/>
        <v>2300</v>
      </c>
      <c r="O53" s="87">
        <f t="shared" si="5"/>
        <v>16100</v>
      </c>
      <c r="P53" s="313">
        <f>SUM(C53:N53)</f>
        <v>16100</v>
      </c>
    </row>
    <row r="54" spans="1:16">
      <c r="A54" s="73"/>
      <c r="B54" s="21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43"/>
    </row>
    <row r="55" spans="1:16">
      <c r="A55" s="73"/>
      <c r="B55" s="65" t="s">
        <v>90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43"/>
    </row>
    <row r="56" spans="1:16">
      <c r="A56" s="29" t="s">
        <v>50</v>
      </c>
      <c r="B56" s="4" t="s">
        <v>91</v>
      </c>
      <c r="C56" s="14"/>
      <c r="D56" s="14"/>
      <c r="E56" s="14"/>
      <c r="F56" s="14"/>
      <c r="G56" s="14"/>
      <c r="H56" s="14">
        <v>1195</v>
      </c>
      <c r="I56" s="14"/>
      <c r="J56" s="14"/>
      <c r="K56" s="14"/>
      <c r="L56" s="14"/>
      <c r="M56" s="14">
        <v>1115</v>
      </c>
      <c r="N56" s="14"/>
      <c r="O56" s="43">
        <f>SUM(C56:N56)</f>
        <v>2310</v>
      </c>
    </row>
    <row r="57" spans="1:16">
      <c r="A57" s="29" t="s">
        <v>50</v>
      </c>
      <c r="B57" s="4" t="s">
        <v>92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>
        <v>4500</v>
      </c>
      <c r="N57" s="14"/>
      <c r="O57" s="43">
        <f>SUM(C57:N57)</f>
        <v>4500</v>
      </c>
    </row>
    <row r="58" spans="1:16">
      <c r="A58" s="29"/>
      <c r="B58" s="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43">
        <f>SUM(C58:I58)</f>
        <v>0</v>
      </c>
    </row>
    <row r="59" spans="1:16">
      <c r="A59" s="29"/>
      <c r="B59" s="82" t="s">
        <v>93</v>
      </c>
      <c r="C59" s="51">
        <f t="shared" ref="C59:O59" si="6">SUM(C56:C58)</f>
        <v>0</v>
      </c>
      <c r="D59" s="51">
        <f t="shared" si="6"/>
        <v>0</v>
      </c>
      <c r="E59" s="51">
        <f t="shared" si="6"/>
        <v>0</v>
      </c>
      <c r="F59" s="51">
        <f t="shared" si="6"/>
        <v>0</v>
      </c>
      <c r="G59" s="51">
        <f t="shared" si="6"/>
        <v>0</v>
      </c>
      <c r="H59" s="51">
        <f t="shared" si="6"/>
        <v>1195</v>
      </c>
      <c r="I59" s="51">
        <f t="shared" si="6"/>
        <v>0</v>
      </c>
      <c r="J59" s="51"/>
      <c r="K59" s="51"/>
      <c r="L59" s="51"/>
      <c r="M59" s="51">
        <f>SUM(M56:M58)</f>
        <v>5615</v>
      </c>
      <c r="N59" s="51"/>
      <c r="O59" s="87">
        <f t="shared" si="6"/>
        <v>6810</v>
      </c>
      <c r="P59" s="45">
        <f>SUM(C59:N59)</f>
        <v>6810</v>
      </c>
    </row>
    <row r="60" spans="1:16">
      <c r="A60" s="73"/>
      <c r="B60" s="47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43"/>
    </row>
    <row r="61" spans="1:16">
      <c r="A61" s="73"/>
      <c r="B61" s="65" t="s">
        <v>15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43"/>
    </row>
    <row r="62" spans="1:16">
      <c r="A62" s="73" t="s">
        <v>50</v>
      </c>
      <c r="B62" s="4" t="s">
        <v>95</v>
      </c>
      <c r="C62" s="14">
        <f>'[2]B.S SCHEDULES'!B70</f>
        <v>0</v>
      </c>
      <c r="D62" s="14">
        <f>'GEN. O.H'!G63</f>
        <v>5000</v>
      </c>
      <c r="E62" s="14">
        <f>'GEN. O.H'!H63</f>
        <v>30000</v>
      </c>
      <c r="F62" s="14">
        <f>'GEN. O.H'!I63</f>
        <v>9000</v>
      </c>
      <c r="G62" s="14">
        <f>'GEN. O.H'!J63</f>
        <v>9000</v>
      </c>
      <c r="H62" s="14">
        <f>'GEN. O.H'!K63</f>
        <v>7000</v>
      </c>
      <c r="I62" s="14">
        <f>'GEN. O.H'!L63</f>
        <v>5000</v>
      </c>
      <c r="J62" s="14">
        <f>'GEN. O.H'!M63</f>
        <v>5000</v>
      </c>
      <c r="K62" s="14">
        <f>'GEN. O.H'!N63</f>
        <v>5000</v>
      </c>
      <c r="L62" s="14">
        <f>'GEN. O.H'!O63</f>
        <v>6000</v>
      </c>
      <c r="M62" s="14">
        <f>'GEN. O.H'!P63</f>
        <v>6000</v>
      </c>
      <c r="N62" s="14">
        <f>'GEN. O.H'!Q63</f>
        <v>6000</v>
      </c>
      <c r="O62" s="43">
        <f>SUM(C62:N62)</f>
        <v>93000</v>
      </c>
    </row>
    <row r="63" spans="1:16">
      <c r="A63" s="73" t="s">
        <v>50</v>
      </c>
      <c r="B63" s="4" t="s">
        <v>96</v>
      </c>
      <c r="C63" s="14"/>
      <c r="D63" s="14"/>
      <c r="E63" s="14"/>
      <c r="F63" s="14"/>
      <c r="G63" s="14"/>
      <c r="H63" s="14">
        <v>500</v>
      </c>
      <c r="I63" s="14">
        <v>500</v>
      </c>
      <c r="J63" s="14">
        <v>500</v>
      </c>
      <c r="K63" s="14">
        <v>500</v>
      </c>
      <c r="L63" s="14">
        <v>500</v>
      </c>
      <c r="M63" s="14">
        <v>500</v>
      </c>
      <c r="N63" s="14">
        <v>500</v>
      </c>
      <c r="O63" s="43">
        <f>SUM(C63:N63)</f>
        <v>3500</v>
      </c>
    </row>
    <row r="64" spans="1:16">
      <c r="A64" s="73" t="s">
        <v>50</v>
      </c>
      <c r="B64" s="21" t="s">
        <v>187</v>
      </c>
      <c r="C64" s="14"/>
      <c r="D64" s="14"/>
      <c r="E64" s="14"/>
      <c r="F64" s="14"/>
      <c r="G64" s="14"/>
      <c r="H64" s="14">
        <v>4500</v>
      </c>
      <c r="I64" s="14">
        <f>'[2]GEN. O.H'!J63</f>
        <v>0</v>
      </c>
      <c r="J64" s="14">
        <f>'[2]GEN. O.H'!K63</f>
        <v>0</v>
      </c>
      <c r="K64" s="14">
        <v>4500</v>
      </c>
      <c r="L64" s="14">
        <v>30000</v>
      </c>
      <c r="M64" s="14"/>
      <c r="N64" s="14">
        <v>4500</v>
      </c>
      <c r="O64" s="43">
        <f>SUM(C64:N64)</f>
        <v>43500</v>
      </c>
    </row>
    <row r="65" spans="1:16">
      <c r="A65" s="73"/>
      <c r="B65" s="21" t="s">
        <v>188</v>
      </c>
      <c r="C65" s="14"/>
      <c r="D65" s="14"/>
      <c r="E65" s="14"/>
      <c r="F65" s="14"/>
      <c r="G65" s="14"/>
      <c r="H65" s="14"/>
      <c r="I65" s="14"/>
      <c r="J65" s="14">
        <v>3500</v>
      </c>
      <c r="K65" s="14"/>
      <c r="L65" s="14"/>
      <c r="M65" s="14"/>
      <c r="N65" s="14"/>
      <c r="O65" s="43">
        <f>SUM(C65:N65)</f>
        <v>3500</v>
      </c>
    </row>
    <row r="66" spans="1:16">
      <c r="A66" s="73"/>
      <c r="B66" s="21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43"/>
    </row>
    <row r="67" spans="1:16">
      <c r="A67" s="73"/>
      <c r="B67" s="82" t="s">
        <v>97</v>
      </c>
      <c r="C67" s="51">
        <f t="shared" ref="C67:O67" si="7">SUM(C62:C65)</f>
        <v>0</v>
      </c>
      <c r="D67" s="51">
        <f t="shared" si="7"/>
        <v>5000</v>
      </c>
      <c r="E67" s="51">
        <f t="shared" si="7"/>
        <v>30000</v>
      </c>
      <c r="F67" s="51">
        <f t="shared" si="7"/>
        <v>9000</v>
      </c>
      <c r="G67" s="51">
        <f t="shared" si="7"/>
        <v>9000</v>
      </c>
      <c r="H67" s="51">
        <f t="shared" si="7"/>
        <v>12000</v>
      </c>
      <c r="I67" s="51">
        <f t="shared" si="7"/>
        <v>5500</v>
      </c>
      <c r="J67" s="51">
        <f t="shared" si="7"/>
        <v>9000</v>
      </c>
      <c r="K67" s="51">
        <f t="shared" si="7"/>
        <v>10000</v>
      </c>
      <c r="L67" s="51">
        <f t="shared" si="7"/>
        <v>36500</v>
      </c>
      <c r="M67" s="51">
        <f t="shared" si="7"/>
        <v>6500</v>
      </c>
      <c r="N67" s="51">
        <f t="shared" si="7"/>
        <v>11000</v>
      </c>
      <c r="O67" s="87">
        <f t="shared" si="7"/>
        <v>143500</v>
      </c>
      <c r="P67" s="45">
        <f>SUM(C67:N67)</f>
        <v>143500</v>
      </c>
    </row>
    <row r="68" spans="1:16">
      <c r="A68" s="7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43"/>
    </row>
    <row r="69" spans="1:16">
      <c r="A69" s="73"/>
      <c r="B69" s="65" t="s">
        <v>16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43"/>
    </row>
    <row r="70" spans="1:16">
      <c r="A70" s="73" t="s">
        <v>50</v>
      </c>
      <c r="B70" t="s">
        <v>98</v>
      </c>
      <c r="C70" s="14">
        <f>'GEN. O.H'!F71</f>
        <v>0</v>
      </c>
      <c r="D70" s="14">
        <f>'GEN. O.H'!G71</f>
        <v>0</v>
      </c>
      <c r="E70" s="14">
        <f>'GEN. O.H'!H71</f>
        <v>0</v>
      </c>
      <c r="F70" s="14">
        <f>'GEN. O.H'!I71</f>
        <v>0</v>
      </c>
      <c r="G70" s="14">
        <f>'GEN. O.H'!J71</f>
        <v>0</v>
      </c>
      <c r="H70" s="14">
        <f>'GEN. O.H'!K71</f>
        <v>0</v>
      </c>
      <c r="I70" s="14">
        <f>'GEN. O.H'!L71</f>
        <v>0</v>
      </c>
      <c r="J70" s="14">
        <f>'GEN. O.H'!M71</f>
        <v>0</v>
      </c>
      <c r="K70" s="14">
        <f>'GEN. O.H'!N71</f>
        <v>0</v>
      </c>
      <c r="L70" s="14">
        <f>'GEN. O.H'!O71</f>
        <v>0</v>
      </c>
      <c r="M70" s="14">
        <f>'GEN. O.H'!P71</f>
        <v>0</v>
      </c>
      <c r="N70" s="14">
        <f>'GEN. O.H'!Q71</f>
        <v>0</v>
      </c>
      <c r="O70" s="43">
        <f>SUM(C70:N70)</f>
        <v>0</v>
      </c>
    </row>
    <row r="71" spans="1:16">
      <c r="A71" s="73" t="s">
        <v>50</v>
      </c>
      <c r="B71" t="s">
        <v>100</v>
      </c>
      <c r="C71" s="14">
        <f>'GEN. O.H'!F73</f>
        <v>650</v>
      </c>
      <c r="D71" s="14">
        <f>'GEN. O.H'!G73</f>
        <v>720</v>
      </c>
      <c r="E71" s="14">
        <f>'GEN. O.H'!H73</f>
        <v>700</v>
      </c>
      <c r="F71" s="14">
        <f>'GEN. O.H'!I73</f>
        <v>700</v>
      </c>
      <c r="G71" s="14">
        <f>'GEN. O.H'!J73</f>
        <v>950</v>
      </c>
      <c r="H71" s="14">
        <f>'GEN. O.H'!K73</f>
        <v>950</v>
      </c>
      <c r="I71" s="14">
        <f>'GEN. O.H'!L73</f>
        <v>950</v>
      </c>
      <c r="J71" s="14">
        <f>'GEN. O.H'!M73</f>
        <v>950</v>
      </c>
      <c r="K71" s="14">
        <f>'GEN. O.H'!N73</f>
        <v>650</v>
      </c>
      <c r="L71" s="14">
        <f>'GEN. O.H'!O73</f>
        <v>650</v>
      </c>
      <c r="M71" s="14">
        <f>'GEN. O.H'!P73</f>
        <v>650</v>
      </c>
      <c r="N71" s="14">
        <f>'GEN. O.H'!Q73</f>
        <v>750</v>
      </c>
      <c r="O71" s="43">
        <f>SUM(C71:N71)</f>
        <v>9270</v>
      </c>
    </row>
    <row r="72" spans="1:16">
      <c r="A72" s="73" t="s">
        <v>50</v>
      </c>
      <c r="B72" t="s">
        <v>101</v>
      </c>
      <c r="C72" s="14">
        <f>'GEN. O.H'!F74</f>
        <v>18.33818181818182</v>
      </c>
      <c r="D72" s="14">
        <f>'GEN. O.H'!G74</f>
        <v>18.33818181818182</v>
      </c>
      <c r="E72" s="14">
        <f>'GEN. O.H'!H74</f>
        <v>18.33818181818182</v>
      </c>
      <c r="F72" s="14">
        <f>'GEN. O.H'!I74</f>
        <v>18.33818181818182</v>
      </c>
      <c r="G72" s="14">
        <f>'GEN. O.H'!J74</f>
        <v>18.33818181818182</v>
      </c>
      <c r="H72" s="14">
        <f>'GEN. O.H'!K74</f>
        <v>18.33818181818182</v>
      </c>
      <c r="I72" s="14">
        <f>'GEN. O.H'!L74</f>
        <v>18.33818181818182</v>
      </c>
      <c r="J72" s="14">
        <f>'GEN. O.H'!M74</f>
        <v>18.33818181818182</v>
      </c>
      <c r="K72" s="14">
        <f>'GEN. O.H'!N74</f>
        <v>18.33818181818182</v>
      </c>
      <c r="L72" s="14">
        <f>'GEN. O.H'!O74</f>
        <v>18.33818181818182</v>
      </c>
      <c r="M72" s="14">
        <f>'GEN. O.H'!P74</f>
        <v>18.33818181818182</v>
      </c>
      <c r="N72" s="14">
        <f>'GEN. O.H'!Q74</f>
        <v>18.33818181818182</v>
      </c>
      <c r="O72" s="43">
        <f>SUM(C72:N72)</f>
        <v>220.05818181818185</v>
      </c>
    </row>
    <row r="73" spans="1:16">
      <c r="A73" s="73"/>
      <c r="B73" t="s">
        <v>462</v>
      </c>
      <c r="C73" s="14">
        <f>'GEN. O.H'!F75</f>
        <v>27.814545454545453</v>
      </c>
      <c r="D73" s="14">
        <f>'GEN. O.H'!G75</f>
        <v>27.814545454545453</v>
      </c>
      <c r="E73" s="14">
        <f>'GEN. O.H'!H75</f>
        <v>27.814545454545453</v>
      </c>
      <c r="F73" s="14">
        <f>'GEN. O.H'!I75</f>
        <v>27.814545454545453</v>
      </c>
      <c r="G73" s="14">
        <f>'GEN. O.H'!J75</f>
        <v>27.814545454545453</v>
      </c>
      <c r="H73" s="14">
        <f>'GEN. O.H'!K75</f>
        <v>27.814545454545453</v>
      </c>
      <c r="I73" s="14">
        <f>'GEN. O.H'!L75</f>
        <v>27.814545454545453</v>
      </c>
      <c r="J73" s="14">
        <f>'GEN. O.H'!M75</f>
        <v>27.814545454545453</v>
      </c>
      <c r="K73" s="14">
        <f>'GEN. O.H'!N75</f>
        <v>27.814545454545453</v>
      </c>
      <c r="L73" s="14">
        <f>'GEN. O.H'!O75</f>
        <v>27.814545454545453</v>
      </c>
      <c r="M73" s="14">
        <f>'GEN. O.H'!P75</f>
        <v>27.814545454545453</v>
      </c>
      <c r="N73" s="14">
        <f>'GEN. O.H'!Q75</f>
        <v>27.814545454545453</v>
      </c>
      <c r="O73" s="43">
        <f>SUM(C73:N73)</f>
        <v>333.77454545454543</v>
      </c>
    </row>
    <row r="74" spans="1:16">
      <c r="A74" s="73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43"/>
    </row>
    <row r="75" spans="1:16">
      <c r="A75" s="73"/>
      <c r="B75" s="82" t="s">
        <v>102</v>
      </c>
      <c r="C75" s="51">
        <f t="shared" ref="C75:O75" si="8">SUM(C70:C73)</f>
        <v>696.15272727272736</v>
      </c>
      <c r="D75" s="51">
        <f t="shared" si="8"/>
        <v>766.15272727272736</v>
      </c>
      <c r="E75" s="51">
        <f t="shared" si="8"/>
        <v>746.15272727272736</v>
      </c>
      <c r="F75" s="51">
        <f t="shared" si="8"/>
        <v>746.15272727272736</v>
      </c>
      <c r="G75" s="51">
        <f t="shared" si="8"/>
        <v>996.15272727272736</v>
      </c>
      <c r="H75" s="51">
        <f t="shared" si="8"/>
        <v>996.15272727272736</v>
      </c>
      <c r="I75" s="51">
        <f t="shared" si="8"/>
        <v>996.15272727272736</v>
      </c>
      <c r="J75" s="51">
        <f>SUM(J70:J73)</f>
        <v>996.15272727272736</v>
      </c>
      <c r="K75" s="51">
        <f>SUM(K70:K73)</f>
        <v>696.15272727272736</v>
      </c>
      <c r="L75" s="51">
        <f>SUM(L70:L73)</f>
        <v>696.15272727272736</v>
      </c>
      <c r="M75" s="51">
        <f>SUM(M70:M73)</f>
        <v>696.15272727272736</v>
      </c>
      <c r="N75" s="51">
        <f>SUM(N70:N73)</f>
        <v>796.15272727272736</v>
      </c>
      <c r="O75" s="87">
        <f t="shared" si="8"/>
        <v>9823.8327272727274</v>
      </c>
      <c r="P75" s="45">
        <f>SUM(C75:N75)</f>
        <v>9823.8327272727274</v>
      </c>
    </row>
    <row r="76" spans="1:16">
      <c r="A76" s="29"/>
      <c r="B76" s="90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2"/>
      <c r="P76" s="45"/>
    </row>
    <row r="77" spans="1:16">
      <c r="A77" s="73"/>
      <c r="B77" s="82" t="s">
        <v>104</v>
      </c>
      <c r="C77" s="312">
        <f>SUM(C18+C40+C46+C53+C59+C67+C75)</f>
        <v>696.15272727272736</v>
      </c>
      <c r="D77" s="312">
        <f t="shared" ref="D77:N77" si="9">SUM(D18+D40+D46+D53+D59+D67+D75)</f>
        <v>5766.1527272727271</v>
      </c>
      <c r="E77" s="312">
        <f t="shared" si="9"/>
        <v>30746.152727272729</v>
      </c>
      <c r="F77" s="312">
        <f t="shared" si="9"/>
        <v>9746.1527272727271</v>
      </c>
      <c r="G77" s="312">
        <f t="shared" si="9"/>
        <v>9996.1527272727271</v>
      </c>
      <c r="H77" s="312">
        <f t="shared" si="9"/>
        <v>300565.00310606061</v>
      </c>
      <c r="I77" s="312">
        <f t="shared" si="9"/>
        <v>209939.00310606064</v>
      </c>
      <c r="J77" s="312">
        <f t="shared" si="9"/>
        <v>179789.00310606064</v>
      </c>
      <c r="K77" s="312">
        <f t="shared" si="9"/>
        <v>194289.00310606064</v>
      </c>
      <c r="L77" s="312">
        <f t="shared" si="9"/>
        <v>326620.00310606061</v>
      </c>
      <c r="M77" s="312">
        <f t="shared" si="9"/>
        <v>199504.00310606064</v>
      </c>
      <c r="N77" s="312">
        <f t="shared" si="9"/>
        <v>210289.00310606064</v>
      </c>
      <c r="O77" s="51">
        <f>SUM(O18+O40+O46+O53+O59+O67+O75)</f>
        <v>1677945.7853787879</v>
      </c>
      <c r="P77" s="45">
        <f>SUM(C77:N77)</f>
        <v>1677945.7853787881</v>
      </c>
    </row>
    <row r="78" spans="1:16">
      <c r="A78" s="73"/>
      <c r="O78" s="3"/>
    </row>
    <row r="79" spans="1:16">
      <c r="A79" s="73"/>
      <c r="B79" s="65" t="s">
        <v>105</v>
      </c>
      <c r="O79" s="41"/>
    </row>
    <row r="80" spans="1:16">
      <c r="A80" s="73"/>
      <c r="O80" s="41"/>
    </row>
    <row r="81" spans="1:16">
      <c r="A81" s="73"/>
      <c r="B81" s="31" t="s">
        <v>416</v>
      </c>
      <c r="O81" s="41"/>
    </row>
    <row r="82" spans="1:16">
      <c r="A82" s="73"/>
      <c r="B82" t="s">
        <v>106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43">
        <f t="shared" ref="O82:O94" si="10">SUM(C82:I82)</f>
        <v>0</v>
      </c>
    </row>
    <row r="83" spans="1:16">
      <c r="A83" s="73"/>
      <c r="B83" t="s">
        <v>107</v>
      </c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3">
        <f t="shared" si="10"/>
        <v>0</v>
      </c>
    </row>
    <row r="84" spans="1:16">
      <c r="A84" s="73"/>
      <c r="B84" t="s">
        <v>108</v>
      </c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3">
        <f t="shared" si="10"/>
        <v>0</v>
      </c>
    </row>
    <row r="85" spans="1:16">
      <c r="A85" s="73"/>
      <c r="B85" t="s">
        <v>109</v>
      </c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3">
        <f t="shared" si="10"/>
        <v>0</v>
      </c>
    </row>
    <row r="86" spans="1:16">
      <c r="A86" s="73"/>
      <c r="B86" t="s">
        <v>110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3">
        <f t="shared" si="10"/>
        <v>0</v>
      </c>
    </row>
    <row r="87" spans="1:16">
      <c r="A87" s="73"/>
      <c r="B87" t="s">
        <v>111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3">
        <f t="shared" si="10"/>
        <v>0</v>
      </c>
    </row>
    <row r="88" spans="1:16">
      <c r="A88" s="73"/>
      <c r="B88" t="s">
        <v>112</v>
      </c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3">
        <f t="shared" si="10"/>
        <v>0</v>
      </c>
    </row>
    <row r="89" spans="1:16">
      <c r="A89" s="73"/>
      <c r="B89" t="s">
        <v>113</v>
      </c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3">
        <f t="shared" si="10"/>
        <v>0</v>
      </c>
    </row>
    <row r="90" spans="1:16">
      <c r="A90" s="73"/>
      <c r="B90" t="s">
        <v>114</v>
      </c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3">
        <f t="shared" si="10"/>
        <v>0</v>
      </c>
    </row>
    <row r="91" spans="1:16">
      <c r="A91" s="73"/>
      <c r="B91" t="s">
        <v>115</v>
      </c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3">
        <f t="shared" si="10"/>
        <v>0</v>
      </c>
    </row>
    <row r="92" spans="1:16">
      <c r="A92" s="73"/>
      <c r="B92" t="s">
        <v>116</v>
      </c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3">
        <f t="shared" si="10"/>
        <v>0</v>
      </c>
    </row>
    <row r="93" spans="1:16">
      <c r="A93" s="73"/>
      <c r="B93" t="s">
        <v>117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3">
        <f t="shared" si="10"/>
        <v>0</v>
      </c>
    </row>
    <row r="94" spans="1:16">
      <c r="A94" s="73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43">
        <f t="shared" si="10"/>
        <v>0</v>
      </c>
    </row>
    <row r="95" spans="1:16">
      <c r="A95" s="73"/>
      <c r="B95" s="82" t="s">
        <v>119</v>
      </c>
      <c r="C95" s="51">
        <f t="shared" ref="C95:O95" si="11">SUM(C82:C94)</f>
        <v>0</v>
      </c>
      <c r="D95" s="51">
        <f t="shared" si="11"/>
        <v>0</v>
      </c>
      <c r="E95" s="51">
        <f t="shared" si="11"/>
        <v>0</v>
      </c>
      <c r="F95" s="51">
        <f t="shared" si="11"/>
        <v>0</v>
      </c>
      <c r="G95" s="51">
        <f t="shared" si="11"/>
        <v>0</v>
      </c>
      <c r="H95" s="51">
        <f t="shared" si="11"/>
        <v>0</v>
      </c>
      <c r="I95" s="51">
        <f t="shared" si="11"/>
        <v>0</v>
      </c>
      <c r="J95" s="51">
        <f>SUM(J82:J94)</f>
        <v>0</v>
      </c>
      <c r="K95" s="51">
        <f>SUM(K82:K94)</f>
        <v>0</v>
      </c>
      <c r="L95" s="51">
        <f>SUM(L82:L94)</f>
        <v>0</v>
      </c>
      <c r="M95" s="51">
        <f>SUM(M82:M94)</f>
        <v>0</v>
      </c>
      <c r="N95" s="51">
        <f>SUM(N82:N94)</f>
        <v>0</v>
      </c>
      <c r="O95" s="87">
        <f t="shared" si="11"/>
        <v>0</v>
      </c>
      <c r="P95" s="45">
        <f>SUM(C95:I95)</f>
        <v>0</v>
      </c>
    </row>
    <row r="96" spans="1:16">
      <c r="A96" s="73"/>
      <c r="O96" s="41"/>
    </row>
    <row r="97" spans="1:16">
      <c r="A97" s="73"/>
      <c r="B97" s="31" t="s">
        <v>417</v>
      </c>
      <c r="O97" s="41"/>
    </row>
    <row r="98" spans="1:16">
      <c r="A98" s="73"/>
      <c r="B98" t="s">
        <v>121</v>
      </c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43">
        <f>SUM(C98:I98)</f>
        <v>0</v>
      </c>
      <c r="P98" s="45"/>
    </row>
    <row r="99" spans="1:16">
      <c r="A99" s="73"/>
      <c r="B99" t="s">
        <v>418</v>
      </c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43">
        <f>SUM(C99:I99)</f>
        <v>0</v>
      </c>
      <c r="P99" s="45"/>
    </row>
    <row r="100" spans="1:16">
      <c r="A100" s="73"/>
      <c r="O100" s="41"/>
    </row>
    <row r="101" spans="1:16">
      <c r="A101" s="73"/>
      <c r="B101" s="99" t="s">
        <v>122</v>
      </c>
      <c r="C101" s="101">
        <f t="shared" ref="C101:O101" si="12">SUM(C98:C100)</f>
        <v>0</v>
      </c>
      <c r="D101" s="102">
        <f t="shared" si="12"/>
        <v>0</v>
      </c>
      <c r="E101" s="102">
        <f t="shared" si="12"/>
        <v>0</v>
      </c>
      <c r="F101" s="102">
        <f t="shared" si="12"/>
        <v>0</v>
      </c>
      <c r="G101" s="102">
        <f t="shared" si="12"/>
        <v>0</v>
      </c>
      <c r="H101" s="102">
        <f t="shared" si="12"/>
        <v>0</v>
      </c>
      <c r="I101" s="102">
        <f t="shared" si="12"/>
        <v>0</v>
      </c>
      <c r="J101" s="102">
        <f>SUM(J98:J100)</f>
        <v>0</v>
      </c>
      <c r="K101" s="102">
        <f>SUM(K98:K100)</f>
        <v>0</v>
      </c>
      <c r="L101" s="102">
        <f>SUM(L98:L100)</f>
        <v>0</v>
      </c>
      <c r="M101" s="102">
        <f>SUM(M98:M100)</f>
        <v>0</v>
      </c>
      <c r="N101" s="102">
        <f>SUM(N98:N100)</f>
        <v>0</v>
      </c>
      <c r="O101" s="103">
        <f t="shared" si="12"/>
        <v>0</v>
      </c>
      <c r="P101" s="45">
        <f>SUM(C101:I101)</f>
        <v>0</v>
      </c>
    </row>
    <row r="102" spans="1:16">
      <c r="A102" s="73"/>
      <c r="C102" s="4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41"/>
    </row>
    <row r="103" spans="1:16">
      <c r="A103" s="73"/>
      <c r="B103" s="99" t="s">
        <v>123</v>
      </c>
      <c r="C103" s="101">
        <f t="shared" ref="C103:O103" si="13">SUM(C95+C101)</f>
        <v>0</v>
      </c>
      <c r="D103" s="102">
        <f t="shared" si="13"/>
        <v>0</v>
      </c>
      <c r="E103" s="102">
        <f t="shared" si="13"/>
        <v>0</v>
      </c>
      <c r="F103" s="102">
        <f t="shared" si="13"/>
        <v>0</v>
      </c>
      <c r="G103" s="102">
        <f t="shared" si="13"/>
        <v>0</v>
      </c>
      <c r="H103" s="102">
        <f t="shared" si="13"/>
        <v>0</v>
      </c>
      <c r="I103" s="102">
        <f t="shared" si="13"/>
        <v>0</v>
      </c>
      <c r="J103" s="102">
        <f>SUM(J95+J101)</f>
        <v>0</v>
      </c>
      <c r="K103" s="102">
        <f>SUM(K95+K101)</f>
        <v>0</v>
      </c>
      <c r="L103" s="102">
        <f>SUM(L95+L101)</f>
        <v>0</v>
      </c>
      <c r="M103" s="102">
        <f>SUM(M95+M101)</f>
        <v>0</v>
      </c>
      <c r="N103" s="102">
        <f>SUM(N95+N101)</f>
        <v>0</v>
      </c>
      <c r="O103" s="103">
        <f t="shared" si="13"/>
        <v>0</v>
      </c>
      <c r="P103" s="45">
        <f>SUM(C103:I103)</f>
        <v>0</v>
      </c>
    </row>
    <row r="104" spans="1:16">
      <c r="A104" s="73"/>
      <c r="O104" s="41"/>
    </row>
    <row r="105" spans="1:16">
      <c r="A105" s="73" t="s">
        <v>50</v>
      </c>
      <c r="B105" t="s">
        <v>21</v>
      </c>
      <c r="C105" s="266"/>
      <c r="D105" s="266"/>
      <c r="E105" s="266"/>
      <c r="F105" s="266"/>
      <c r="G105" s="266"/>
      <c r="H105" s="266">
        <f>'[2]GEN. O.H'!J77</f>
        <v>10000</v>
      </c>
      <c r="I105" s="266">
        <f>'[2]GEN. O.H'!K77</f>
        <v>10000</v>
      </c>
      <c r="J105" s="266">
        <f>'[2]GEN. O.H'!L77</f>
        <v>10000</v>
      </c>
      <c r="K105" s="266">
        <f>'[2]GEN. O.H'!M77</f>
        <v>10000</v>
      </c>
      <c r="L105" s="266">
        <f>'[2]GEN. O.H'!N77</f>
        <v>10000</v>
      </c>
      <c r="M105" s="266">
        <f>'[2]GEN. O.H'!O77</f>
        <v>10000</v>
      </c>
      <c r="N105" s="266">
        <f>'[2]GEN. O.H'!P77</f>
        <v>10000</v>
      </c>
      <c r="O105" s="43">
        <f>SUM(C105:N105)</f>
        <v>70000</v>
      </c>
    </row>
    <row r="106" spans="1:16">
      <c r="A106" s="73"/>
      <c r="O106" s="41"/>
    </row>
    <row r="107" spans="1:16">
      <c r="A107" s="274"/>
      <c r="B107" s="105" t="s">
        <v>125</v>
      </c>
      <c r="C107" s="107">
        <f>SUM(C77+C103+C105)</f>
        <v>696.15272727272736</v>
      </c>
      <c r="D107" s="107">
        <f t="shared" ref="D107:O107" si="14">SUM(D77+D103+D105)</f>
        <v>5766.1527272727271</v>
      </c>
      <c r="E107" s="107">
        <f t="shared" si="14"/>
        <v>30746.152727272729</v>
      </c>
      <c r="F107" s="107">
        <f t="shared" si="14"/>
        <v>9746.1527272727271</v>
      </c>
      <c r="G107" s="107">
        <f t="shared" si="14"/>
        <v>9996.1527272727271</v>
      </c>
      <c r="H107" s="107">
        <f t="shared" si="14"/>
        <v>310565.00310606061</v>
      </c>
      <c r="I107" s="107">
        <f t="shared" si="14"/>
        <v>219939.00310606064</v>
      </c>
      <c r="J107" s="107">
        <f t="shared" si="14"/>
        <v>189789.00310606064</v>
      </c>
      <c r="K107" s="107">
        <f t="shared" si="14"/>
        <v>204289.00310606064</v>
      </c>
      <c r="L107" s="107">
        <f t="shared" si="14"/>
        <v>336620.00310606061</v>
      </c>
      <c r="M107" s="107">
        <f t="shared" si="14"/>
        <v>209504.00310606064</v>
      </c>
      <c r="N107" s="107">
        <f t="shared" si="14"/>
        <v>220289.00310606064</v>
      </c>
      <c r="O107" s="107">
        <f t="shared" si="14"/>
        <v>1747945.7853787879</v>
      </c>
      <c r="P107" s="45">
        <f>SUM(C107:N107)</f>
        <v>1747945.7853787881</v>
      </c>
    </row>
    <row r="108" spans="1:16">
      <c r="A108" s="29"/>
    </row>
    <row r="109" spans="1:16" hidden="1">
      <c r="A109" s="29"/>
    </row>
    <row r="110" spans="1:16" hidden="1">
      <c r="A110" s="31" t="s">
        <v>201</v>
      </c>
      <c r="O110" s="275"/>
    </row>
    <row r="111" spans="1:16" hidden="1">
      <c r="A111" s="31"/>
      <c r="B111" s="30" t="s">
        <v>11</v>
      </c>
    </row>
    <row r="112" spans="1:16" hidden="1">
      <c r="A112" s="31" t="s">
        <v>419</v>
      </c>
      <c r="B112" t="s">
        <v>420</v>
      </c>
      <c r="I112" s="185"/>
      <c r="J112" s="185"/>
      <c r="K112" s="185"/>
      <c r="L112" s="185"/>
      <c r="M112" s="185"/>
      <c r="N112" s="185"/>
    </row>
    <row r="113" spans="1:15" hidden="1">
      <c r="A113" s="31" t="s">
        <v>419</v>
      </c>
      <c r="B113" t="s">
        <v>421</v>
      </c>
    </row>
    <row r="114" spans="1:15" hidden="1">
      <c r="A114" s="276"/>
      <c r="H114" s="30"/>
      <c r="O114" s="277"/>
    </row>
    <row r="115" spans="1:15" hidden="1">
      <c r="A115" s="276"/>
    </row>
    <row r="116" spans="1:15" hidden="1">
      <c r="A116" s="276"/>
      <c r="O116" s="277"/>
    </row>
    <row r="117" spans="1:15" hidden="1">
      <c r="A117" s="276"/>
      <c r="C117" s="266"/>
      <c r="D117" s="45"/>
    </row>
    <row r="118" spans="1:15" hidden="1">
      <c r="A118" s="276"/>
    </row>
    <row r="119" spans="1:15" hidden="1">
      <c r="A119" s="276"/>
    </row>
    <row r="120" spans="1:15" hidden="1">
      <c r="A120" s="276"/>
    </row>
    <row r="121" spans="1:15" hidden="1">
      <c r="A121" s="276"/>
    </row>
    <row r="122" spans="1:15" hidden="1">
      <c r="A122" s="276"/>
    </row>
    <row r="123" spans="1:15" hidden="1">
      <c r="A123" s="276"/>
    </row>
    <row r="124" spans="1:15" hidden="1">
      <c r="A124" s="276"/>
    </row>
    <row r="125" spans="1:15" hidden="1">
      <c r="A125" s="276"/>
    </row>
    <row r="126" spans="1:15" hidden="1">
      <c r="A126" s="276"/>
      <c r="B126" s="30" t="s">
        <v>64</v>
      </c>
    </row>
    <row r="127" spans="1:15" hidden="1">
      <c r="A127" s="276"/>
    </row>
    <row r="128" spans="1:15" hidden="1">
      <c r="A128" s="276"/>
    </row>
    <row r="129" spans="1:1" hidden="1">
      <c r="A129" s="276"/>
    </row>
    <row r="130" spans="1:1" hidden="1">
      <c r="A130" s="276"/>
    </row>
    <row r="131" spans="1:1" hidden="1">
      <c r="A131" s="276"/>
    </row>
    <row r="132" spans="1:1" hidden="1">
      <c r="A132" s="276"/>
    </row>
    <row r="133" spans="1:1" hidden="1">
      <c r="A133" s="276"/>
    </row>
    <row r="134" spans="1:1" hidden="1">
      <c r="A134" s="276"/>
    </row>
    <row r="135" spans="1:1" hidden="1">
      <c r="A135" s="276"/>
    </row>
    <row r="136" spans="1:1" hidden="1">
      <c r="A136" s="276"/>
    </row>
    <row r="137" spans="1:1" hidden="1">
      <c r="A137" s="276"/>
    </row>
    <row r="138" spans="1:1" hidden="1">
      <c r="A138" s="276"/>
    </row>
    <row r="139" spans="1:1" hidden="1">
      <c r="A139" s="276"/>
    </row>
    <row r="140" spans="1:1" hidden="1">
      <c r="A140" s="276"/>
    </row>
    <row r="141" spans="1:1" hidden="1">
      <c r="A141" s="276"/>
    </row>
    <row r="142" spans="1:1" hidden="1">
      <c r="A142" s="276"/>
    </row>
    <row r="143" spans="1:1" hidden="1">
      <c r="A143" s="276"/>
    </row>
    <row r="144" spans="1:1" hidden="1">
      <c r="A144" s="276"/>
    </row>
    <row r="145" spans="1:2" hidden="1">
      <c r="A145" s="276"/>
    </row>
    <row r="146" spans="1:2" hidden="1">
      <c r="A146" s="276"/>
    </row>
    <row r="147" spans="1:2" hidden="1">
      <c r="A147" s="276"/>
      <c r="B147" s="30" t="s">
        <v>14</v>
      </c>
    </row>
    <row r="148" spans="1:2" hidden="1">
      <c r="A148" s="276"/>
    </row>
    <row r="149" spans="1:2" hidden="1">
      <c r="A149" s="276"/>
    </row>
    <row r="150" spans="1:2" hidden="1">
      <c r="A150" s="276"/>
    </row>
    <row r="151" spans="1:2" hidden="1">
      <c r="A151" s="276"/>
    </row>
    <row r="152" spans="1:2" hidden="1">
      <c r="A152" s="276"/>
    </row>
    <row r="153" spans="1:2" hidden="1">
      <c r="A153" s="276"/>
      <c r="B153" s="30" t="s">
        <v>15</v>
      </c>
    </row>
    <row r="154" spans="1:2" hidden="1">
      <c r="A154" s="276"/>
    </row>
    <row r="155" spans="1:2" hidden="1">
      <c r="A155" s="276"/>
    </row>
    <row r="156" spans="1:2" hidden="1">
      <c r="A156" s="276"/>
    </row>
    <row r="157" spans="1:2" hidden="1">
      <c r="A157" s="276"/>
      <c r="B157" s="30" t="s">
        <v>422</v>
      </c>
    </row>
    <row r="158" spans="1:2" hidden="1">
      <c r="A158" s="276"/>
      <c r="B158" s="63"/>
    </row>
    <row r="159" spans="1:2" hidden="1">
      <c r="A159" s="276"/>
    </row>
    <row r="160" spans="1:2" hidden="1">
      <c r="A160" s="276"/>
    </row>
    <row r="161" spans="1:16" hidden="1">
      <c r="A161" s="276"/>
    </row>
    <row r="162" spans="1:16" hidden="1">
      <c r="A162" s="29"/>
      <c r="B162" s="30" t="s">
        <v>23</v>
      </c>
    </row>
    <row r="163" spans="1:16" hidden="1">
      <c r="A163" s="29"/>
      <c r="B163" s="63"/>
    </row>
    <row r="164" spans="1:16" hidden="1">
      <c r="A164" s="29"/>
    </row>
    <row r="165" spans="1:16" hidden="1">
      <c r="A165" s="29"/>
    </row>
    <row r="166" spans="1:16" hidden="1">
      <c r="A166" s="29"/>
    </row>
    <row r="167" spans="1:16" hidden="1">
      <c r="A167" s="29"/>
    </row>
    <row r="168" spans="1:16" hidden="1">
      <c r="A168" s="29"/>
    </row>
    <row r="169" spans="1:16" hidden="1">
      <c r="A169" s="29"/>
      <c r="B169" s="30" t="s">
        <v>24</v>
      </c>
    </row>
    <row r="170" spans="1:16">
      <c r="A170" s="29"/>
    </row>
    <row r="171" spans="1:16" hidden="1">
      <c r="A171" s="29"/>
      <c r="B171" s="32" t="s">
        <v>423</v>
      </c>
    </row>
    <row r="172" spans="1:16" hidden="1">
      <c r="A172" s="29"/>
      <c r="B172" t="s">
        <v>448</v>
      </c>
      <c r="C172" s="266">
        <v>211054</v>
      </c>
      <c r="D172" s="266">
        <v>211054</v>
      </c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>
        <f>SUM(C172:N172)</f>
        <v>422108</v>
      </c>
      <c r="P172" s="266"/>
    </row>
    <row r="173" spans="1:16" hidden="1">
      <c r="A173" s="29"/>
      <c r="B173" t="s">
        <v>424</v>
      </c>
      <c r="C173" s="266"/>
      <c r="D173" s="266">
        <f>([2]SALES!E6+[2]SALES!E12)*50%</f>
        <v>23706.25</v>
      </c>
      <c r="E173" s="266">
        <f>D173</f>
        <v>23706.25</v>
      </c>
      <c r="F173" s="266"/>
      <c r="G173" s="266"/>
      <c r="H173" s="266"/>
      <c r="I173" s="266"/>
      <c r="J173" s="266"/>
      <c r="K173" s="266"/>
      <c r="L173" s="266"/>
      <c r="M173" s="266"/>
      <c r="N173" s="266"/>
      <c r="O173" s="266">
        <f t="shared" ref="O173:O184" si="15">SUM(C173:N173)</f>
        <v>47412.5</v>
      </c>
      <c r="P173" s="266"/>
    </row>
    <row r="174" spans="1:16" hidden="1">
      <c r="A174" s="29"/>
      <c r="B174" t="s">
        <v>425</v>
      </c>
      <c r="C174" s="266"/>
      <c r="D174" s="266"/>
      <c r="E174" s="266">
        <f>([2]SALES!H6+[2]SALES!H12)*50%</f>
        <v>52153.75</v>
      </c>
      <c r="F174" s="266">
        <f>E174</f>
        <v>52153.75</v>
      </c>
      <c r="G174" s="266"/>
      <c r="H174" s="266"/>
      <c r="I174" s="266"/>
      <c r="J174" s="266"/>
      <c r="K174" s="266"/>
      <c r="L174" s="266"/>
      <c r="M174" s="266"/>
      <c r="N174" s="266"/>
      <c r="O174" s="266">
        <f t="shared" si="15"/>
        <v>104307.5</v>
      </c>
      <c r="P174" s="266"/>
    </row>
    <row r="175" spans="1:16" hidden="1">
      <c r="A175" s="29"/>
      <c r="B175" t="s">
        <v>426</v>
      </c>
      <c r="C175" s="266"/>
      <c r="D175" s="266"/>
      <c r="E175" s="266"/>
      <c r="F175" s="266">
        <f>([2]SALES!K6+[2]SALES!K12)*50%</f>
        <v>61636.25</v>
      </c>
      <c r="G175" s="266">
        <f>F175</f>
        <v>61636.25</v>
      </c>
      <c r="H175" s="266"/>
      <c r="I175" s="266"/>
      <c r="J175" s="266"/>
      <c r="K175" s="266"/>
      <c r="L175" s="266"/>
      <c r="M175" s="266"/>
      <c r="N175" s="266"/>
      <c r="O175" s="266">
        <f t="shared" si="15"/>
        <v>123272.5</v>
      </c>
      <c r="P175" s="266"/>
    </row>
    <row r="176" spans="1:16" hidden="1">
      <c r="A176" s="29"/>
      <c r="B176" t="s">
        <v>427</v>
      </c>
      <c r="C176" s="266"/>
      <c r="D176" s="266"/>
      <c r="E176" s="266"/>
      <c r="F176" s="266"/>
      <c r="G176" s="266">
        <f>([2]SALES!N6+[2]SALES!N12)*50%</f>
        <v>66377.5</v>
      </c>
      <c r="H176" s="266">
        <f>G176</f>
        <v>66377.5</v>
      </c>
      <c r="I176" s="266"/>
      <c r="J176" s="266"/>
      <c r="K176" s="266"/>
      <c r="L176" s="266"/>
      <c r="M176" s="266"/>
      <c r="N176" s="266"/>
      <c r="O176" s="266">
        <f t="shared" si="15"/>
        <v>132755</v>
      </c>
      <c r="P176" s="266"/>
    </row>
    <row r="177" spans="1:17" hidden="1">
      <c r="A177" s="29"/>
      <c r="B177" t="s">
        <v>428</v>
      </c>
      <c r="C177" s="266"/>
      <c r="D177" s="266"/>
      <c r="E177" s="266"/>
      <c r="F177" s="266"/>
      <c r="G177" s="266"/>
      <c r="H177" s="266">
        <f>([2]SALES!Q6+[2]SALES!Q12)*50%</f>
        <v>71118.75</v>
      </c>
      <c r="I177" s="266">
        <f>H177</f>
        <v>71118.75</v>
      </c>
      <c r="J177" s="266"/>
      <c r="K177" s="266"/>
      <c r="L177" s="266"/>
      <c r="M177" s="266"/>
      <c r="N177" s="266"/>
      <c r="O177" s="266">
        <f t="shared" si="15"/>
        <v>142237.5</v>
      </c>
      <c r="P177" s="266"/>
    </row>
    <row r="178" spans="1:17" hidden="1">
      <c r="A178" s="29"/>
      <c r="B178" t="s">
        <v>429</v>
      </c>
      <c r="C178" s="266"/>
      <c r="D178" s="266"/>
      <c r="E178" s="266"/>
      <c r="F178" s="266"/>
      <c r="G178" s="266"/>
      <c r="H178" s="266"/>
      <c r="I178" s="266">
        <f>([2]SALES!T6+[2]SALES!T12)*50%</f>
        <v>71118.75</v>
      </c>
      <c r="J178" s="266">
        <f>I178</f>
        <v>71118.75</v>
      </c>
      <c r="K178" s="266"/>
      <c r="L178" s="266"/>
      <c r="M178" s="266"/>
      <c r="N178" s="266"/>
      <c r="O178" s="266">
        <f t="shared" si="15"/>
        <v>142237.5</v>
      </c>
      <c r="P178" s="266"/>
    </row>
    <row r="179" spans="1:17" hidden="1">
      <c r="A179" s="29"/>
      <c r="B179" t="s">
        <v>430</v>
      </c>
      <c r="C179" s="266"/>
      <c r="D179" s="266"/>
      <c r="E179" s="266"/>
      <c r="F179" s="266"/>
      <c r="G179" s="266"/>
      <c r="H179" s="266"/>
      <c r="I179" s="266"/>
      <c r="J179" s="266">
        <f>([2]SALES!W6+[2]SALES!W12)*50%</f>
        <v>56895</v>
      </c>
      <c r="K179" s="266">
        <f>J179</f>
        <v>56895</v>
      </c>
      <c r="L179" s="266"/>
      <c r="M179" s="266"/>
      <c r="N179" s="266"/>
      <c r="O179" s="266">
        <f t="shared" si="15"/>
        <v>113790</v>
      </c>
      <c r="P179" s="266"/>
    </row>
    <row r="180" spans="1:17" hidden="1">
      <c r="A180" s="29"/>
      <c r="B180" t="s">
        <v>431</v>
      </c>
      <c r="C180" s="266"/>
      <c r="D180" s="266"/>
      <c r="E180" s="266"/>
      <c r="F180" s="266"/>
      <c r="G180" s="266"/>
      <c r="H180" s="266"/>
      <c r="I180" s="266"/>
      <c r="J180" s="266"/>
      <c r="K180" s="266">
        <f>([2]SALES!Z6+[2]SALES!Z12)*50%</f>
        <v>66377.5</v>
      </c>
      <c r="L180" s="266">
        <f>K180</f>
        <v>66377.5</v>
      </c>
      <c r="M180" s="266"/>
      <c r="N180" s="266"/>
      <c r="O180" s="266">
        <f t="shared" si="15"/>
        <v>132755</v>
      </c>
      <c r="P180" s="266"/>
    </row>
    <row r="181" spans="1:17" hidden="1">
      <c r="A181" s="29"/>
      <c r="B181" t="s">
        <v>432</v>
      </c>
      <c r="C181" s="266"/>
      <c r="D181" s="266"/>
      <c r="E181" s="266"/>
      <c r="F181" s="266"/>
      <c r="G181" s="266"/>
      <c r="H181" s="266"/>
      <c r="I181" s="266"/>
      <c r="J181" s="266"/>
      <c r="K181" s="266"/>
      <c r="L181" s="266">
        <f>([2]SALES!AC6+[2]SALES!AC12)*50%</f>
        <v>75860</v>
      </c>
      <c r="M181" s="266">
        <f>L181</f>
        <v>75860</v>
      </c>
      <c r="N181" s="266"/>
      <c r="O181" s="266">
        <f t="shared" si="15"/>
        <v>151720</v>
      </c>
      <c r="P181" s="266"/>
    </row>
    <row r="182" spans="1:17" hidden="1">
      <c r="A182" s="29"/>
      <c r="B182" t="s">
        <v>433</v>
      </c>
      <c r="C182" s="266"/>
      <c r="D182" s="266"/>
      <c r="E182" s="266"/>
      <c r="F182" s="266"/>
      <c r="G182" s="266"/>
      <c r="H182" s="266"/>
      <c r="I182" s="266"/>
      <c r="J182" s="266"/>
      <c r="K182" s="266"/>
      <c r="L182" s="266"/>
      <c r="M182" s="266">
        <f>([2]SALES!AF6+[2]SALES!AF12)*50%</f>
        <v>75860</v>
      </c>
      <c r="N182" s="266">
        <f>M182</f>
        <v>75860</v>
      </c>
      <c r="O182" s="266">
        <f t="shared" si="15"/>
        <v>151720</v>
      </c>
      <c r="P182" s="266"/>
    </row>
    <row r="183" spans="1:17" hidden="1">
      <c r="A183" s="29"/>
      <c r="B183" t="s">
        <v>434</v>
      </c>
      <c r="C183" s="266"/>
      <c r="D183" s="266"/>
      <c r="E183" s="266"/>
      <c r="F183" s="266"/>
      <c r="G183" s="266"/>
      <c r="H183" s="266"/>
      <c r="I183" s="266"/>
      <c r="J183" s="266"/>
      <c r="K183" s="266"/>
      <c r="L183" s="266"/>
      <c r="M183" s="266"/>
      <c r="N183" s="266">
        <f>([2]SALES!AI6+[2]SALES!AI12)*50%</f>
        <v>75860</v>
      </c>
      <c r="O183" s="266">
        <f t="shared" si="15"/>
        <v>75860</v>
      </c>
      <c r="P183" s="266"/>
    </row>
    <row r="184" spans="1:17" hidden="1">
      <c r="A184" s="29"/>
      <c r="B184" t="s">
        <v>435</v>
      </c>
      <c r="C184" s="266"/>
      <c r="D184" s="266"/>
      <c r="E184" s="266"/>
      <c r="F184" s="266"/>
      <c r="G184" s="266"/>
      <c r="H184" s="266"/>
      <c r="I184" s="266"/>
      <c r="J184" s="266"/>
      <c r="K184" s="266"/>
      <c r="L184" s="266"/>
      <c r="M184" s="266"/>
      <c r="N184" s="266"/>
      <c r="O184" s="266">
        <f t="shared" si="15"/>
        <v>0</v>
      </c>
      <c r="P184" s="266"/>
    </row>
    <row r="185" spans="1:17" hidden="1">
      <c r="A185" s="29"/>
      <c r="C185" s="266"/>
      <c r="D185" s="266"/>
      <c r="E185" s="266"/>
      <c r="F185" s="266"/>
      <c r="G185" s="266"/>
      <c r="H185" s="266"/>
      <c r="I185" s="266">
        <v>0</v>
      </c>
      <c r="J185" s="266"/>
      <c r="K185" s="266"/>
      <c r="L185" s="266"/>
      <c r="M185" s="266"/>
      <c r="N185" s="266"/>
      <c r="O185" s="266"/>
      <c r="P185" s="266"/>
    </row>
    <row r="186" spans="1:17" hidden="1">
      <c r="A186" s="29"/>
      <c r="C186" s="266">
        <f t="shared" ref="C186:O186" si="16">SUM(C172:C185)</f>
        <v>211054</v>
      </c>
      <c r="D186" s="266">
        <f t="shared" si="16"/>
        <v>234760.25</v>
      </c>
      <c r="E186" s="266">
        <f t="shared" si="16"/>
        <v>75860</v>
      </c>
      <c r="F186" s="266">
        <f t="shared" si="16"/>
        <v>113790</v>
      </c>
      <c r="G186" s="266">
        <f t="shared" si="16"/>
        <v>128013.75</v>
      </c>
      <c r="H186" s="266">
        <f t="shared" si="16"/>
        <v>137496.25</v>
      </c>
      <c r="I186" s="266">
        <f t="shared" si="16"/>
        <v>142237.5</v>
      </c>
      <c r="J186" s="266">
        <f>SUM(J172:J185)</f>
        <v>128013.75</v>
      </c>
      <c r="K186" s="266">
        <f>SUM(K172:K185)</f>
        <v>123272.5</v>
      </c>
      <c r="L186" s="266">
        <f>SUM(L172:L185)</f>
        <v>142237.5</v>
      </c>
      <c r="M186" s="266">
        <f>SUM(M172:M185)</f>
        <v>151720</v>
      </c>
      <c r="N186" s="266">
        <f>SUM(N172:N185)</f>
        <v>151720</v>
      </c>
      <c r="O186" s="266">
        <f t="shared" si="16"/>
        <v>1740175.5</v>
      </c>
      <c r="P186" s="45">
        <f>SUM(C186:N186)</f>
        <v>1740175.5</v>
      </c>
    </row>
    <row r="187" spans="1:17">
      <c r="A187" s="29"/>
      <c r="C187" s="266"/>
      <c r="D187" s="266"/>
      <c r="E187" s="266"/>
      <c r="F187" s="266"/>
      <c r="G187" s="266"/>
      <c r="H187" s="266"/>
      <c r="I187" s="266"/>
      <c r="J187" s="266"/>
      <c r="K187" s="266"/>
      <c r="L187" s="266"/>
      <c r="M187" s="266"/>
      <c r="N187" s="266"/>
      <c r="O187" s="266"/>
      <c r="P187" s="266"/>
    </row>
    <row r="188" spans="1:17">
      <c r="A188" s="29"/>
      <c r="B188" s="30" t="s">
        <v>436</v>
      </c>
    </row>
    <row r="189" spans="1:17">
      <c r="A189" s="29"/>
      <c r="B189" t="s">
        <v>133</v>
      </c>
      <c r="C189" s="266"/>
      <c r="D189" s="266"/>
      <c r="E189" s="266"/>
      <c r="F189" s="266"/>
      <c r="G189" s="266"/>
      <c r="H189" s="266"/>
      <c r="I189" s="266">
        <v>31171</v>
      </c>
      <c r="J189" s="266">
        <f>(COS!H4+COS!H11+COS!H18+COS!H63+COS!H70)</f>
        <v>65005</v>
      </c>
      <c r="K189" s="266">
        <f>(COS!I4+COS!I11+COS!I18+COS!I63+COS!I70)</f>
        <v>44397.5</v>
      </c>
      <c r="L189" s="266">
        <f>(COS!J4+COS!J11+COS!J18+COS!J63+COS!J70)</f>
        <v>35517.5</v>
      </c>
      <c r="M189" s="266">
        <f>(COS!K4+COS!K11+COS!K18+COS!K63+COS!K70)</f>
        <v>43437.5</v>
      </c>
      <c r="N189" s="266">
        <f>(COS!L4+COS!L11+COS!L18+COS!L63+COS!L70)</f>
        <v>57120</v>
      </c>
      <c r="O189" s="266">
        <f t="shared" ref="O189:O195" si="17">SUM(C189:N189)</f>
        <v>276648.5</v>
      </c>
      <c r="P189" s="266"/>
      <c r="Q189" s="266"/>
    </row>
    <row r="190" spans="1:17">
      <c r="A190" s="29"/>
      <c r="B190" t="s">
        <v>134</v>
      </c>
      <c r="C190" s="266">
        <f>COS!C5+COS!C12+COS!C19+COS!C32+COS!C38+COS!C64+COS!C71</f>
        <v>4266.5</v>
      </c>
      <c r="D190" s="266">
        <f>COS!D5+COS!D12+COS!D19+COS!D32+COS!D38+COS!D64+COS!D71</f>
        <v>6086.5</v>
      </c>
      <c r="E190" s="266">
        <f>COS!E5+COS!E12+COS!E19+COS!E32+COS!E38+COS!E64+COS!E71</f>
        <v>6888</v>
      </c>
      <c r="F190" s="266">
        <f>COS!F5+COS!F12+COS!F19+COS!F32+COS!F38+COS!F64+COS!F71</f>
        <v>7388</v>
      </c>
      <c r="G190" s="266">
        <f>COS!G5+COS!G12+COS!G19+COS!G32+COS!G38+COS!G64+COS!G71</f>
        <v>7569.5</v>
      </c>
      <c r="H190" s="266">
        <f>COS!H5+COS!H12+COS!H19+COS!H32+COS!H38+COS!H64+COS!H71</f>
        <v>7532</v>
      </c>
      <c r="I190" s="266">
        <f>COS!I5+COS!I12+COS!I19+COS!I32+COS!I38+COS!I64+COS!I71</f>
        <v>5458</v>
      </c>
      <c r="J190" s="266">
        <f>COS!J5+COS!J12+COS!J19+COS!J32+COS!J38+COS!J64+COS!J71</f>
        <v>3964</v>
      </c>
      <c r="K190" s="266">
        <f>COS!K5+COS!K12+COS!K19+COS!K32+COS!K38+COS!K64+COS!K71</f>
        <v>4843</v>
      </c>
      <c r="L190" s="266">
        <f>COS!L5+COS!L12+COS!L19+COS!L32+COS!L38+COS!L64+COS!L71</f>
        <v>7031.5</v>
      </c>
      <c r="M190" s="266">
        <f>COS!M5+COS!M12+COS!M19+COS!M32+COS!M38+COS!M64+COS!M71</f>
        <v>6329</v>
      </c>
      <c r="N190" s="266">
        <f>COS!N5+COS!N12+COS!N19+COS!N32+COS!N38+COS!N64+COS!N71</f>
        <v>4951.5</v>
      </c>
      <c r="O190" s="266">
        <f t="shared" si="17"/>
        <v>72307.5</v>
      </c>
      <c r="P190" s="266"/>
      <c r="Q190" s="266"/>
    </row>
    <row r="191" spans="1:17">
      <c r="A191" s="29"/>
      <c r="B191" t="s">
        <v>437</v>
      </c>
      <c r="C191" s="266">
        <f>'[2]B.S SCHEDULES'!E56</f>
        <v>0</v>
      </c>
      <c r="D191" s="266">
        <f>COS!C6+COS!C13+COS!C20+COS!C33+COS!C39+COS!C65+COS!C72</f>
        <v>4530.5</v>
      </c>
      <c r="E191" s="266">
        <f>COS!D6+COS!D13+COS!D20+COS!D33+COS!D39+COS!D65+COS!D72</f>
        <v>6545.5</v>
      </c>
      <c r="F191" s="266">
        <f>COS!E6+COS!E13+COS!E20+COS!E33+COS!E39+COS!E65+COS!E72</f>
        <v>7686</v>
      </c>
      <c r="G191" s="266">
        <f>COS!F6+COS!F13+COS!F20+COS!F33+COS!F39+COS!F65+COS!F72</f>
        <v>8186</v>
      </c>
      <c r="H191" s="266">
        <v>19453</v>
      </c>
      <c r="I191" s="266">
        <f>COS!H6+COS!H13+COS!H20+COS!H33+COS!H39+COS!H65+COS!H72</f>
        <v>8474</v>
      </c>
      <c r="J191" s="266">
        <f>COS!I6+COS!I13+COS!I20+COS!I33+COS!I39+COS!I65+COS!I72</f>
        <v>6256</v>
      </c>
      <c r="K191" s="266">
        <f>COS!J6+COS!J13+COS!J20+COS!J33+COS!J39+COS!J65+COS!J72</f>
        <v>4543</v>
      </c>
      <c r="L191" s="266">
        <f>COS!K6+COS!K13+COS!K20+COS!K33+COS!K39+COS!K65+COS!K72</f>
        <v>5566</v>
      </c>
      <c r="M191" s="266">
        <f>COS!L6+COS!L13+COS!L20+COS!L33+COS!L39+COS!L65+COS!L72</f>
        <v>7685.5</v>
      </c>
      <c r="N191" s="266">
        <f>COS!M6+COS!M13+COS!M20+COS!M33+COS!M39+COS!M65+COS!M72</f>
        <v>6908</v>
      </c>
      <c r="O191" s="266">
        <f t="shared" si="17"/>
        <v>85833.5</v>
      </c>
      <c r="P191" s="266"/>
      <c r="Q191" s="266"/>
    </row>
    <row r="192" spans="1:17">
      <c r="A192" s="29"/>
      <c r="B192" t="s">
        <v>136</v>
      </c>
      <c r="C192" s="266">
        <f>'[2]B.S SCHEDULES'!D56</f>
        <v>0</v>
      </c>
      <c r="D192" s="266">
        <f>COS!C7+COS!C14+COS!C21+COS!C34+COS!C40+COS!C66+COS!C73</f>
        <v>18122</v>
      </c>
      <c r="E192" s="266">
        <f>COS!D7+COS!D14+COS!D21+COS!D34+COS!D40+COS!D66+COS!D73</f>
        <v>26182</v>
      </c>
      <c r="F192" s="266">
        <f>COS!E7+COS!E14+COS!E21+COS!E34+COS!E40+COS!E66+COS!E73</f>
        <v>30744</v>
      </c>
      <c r="G192" s="266">
        <f>COS!F7+COS!F14+COS!F21+COS!F34+COS!F40+COS!F66+COS!F73</f>
        <v>32744</v>
      </c>
      <c r="H192" s="266">
        <v>4863.42</v>
      </c>
      <c r="I192" s="266">
        <f>COS!H7+COS!H14+COS!H21+COS!H34+COS!H40+COS!H66+COS!H73</f>
        <v>33896</v>
      </c>
      <c r="J192" s="266">
        <f>COS!I7+COS!I14+COS!I21+COS!I34+COS!I40+COS!I66+COS!I73</f>
        <v>25024</v>
      </c>
      <c r="K192" s="266">
        <f>COS!J7+COS!J14+COS!J21+COS!J34+COS!J40+COS!J66+COS!J73</f>
        <v>18172</v>
      </c>
      <c r="L192" s="266">
        <f>COS!K7+COS!K14+COS!K21+COS!K34+COS!K40+COS!K66+COS!K73</f>
        <v>22264</v>
      </c>
      <c r="M192" s="266">
        <f>COS!L7+COS!L14+COS!L21+COS!L34+COS!L40+COS!L66+COS!L73</f>
        <v>30742</v>
      </c>
      <c r="N192" s="266">
        <f>COS!M7+COS!M14+COS!M21+COS!M34+COS!M40+COS!M66+COS!M73</f>
        <v>27632</v>
      </c>
      <c r="O192" s="266">
        <f t="shared" si="17"/>
        <v>270385.42</v>
      </c>
      <c r="P192" s="266"/>
      <c r="Q192" s="266"/>
    </row>
    <row r="193" spans="1:17">
      <c r="A193" s="29"/>
      <c r="B193" t="s">
        <v>137</v>
      </c>
      <c r="C193" s="266">
        <f>COS!C8+COS!C15+COS!C22+COS!C35+COS!C41+COS!C67+COS!C74</f>
        <v>3801.5</v>
      </c>
      <c r="D193" s="266">
        <f>COS!D8+COS!D15+COS!D22+COS!D35+COS!D41+COS!D67+COS!D74</f>
        <v>5381.5</v>
      </c>
      <c r="E193" s="266">
        <f>COS!E8+COS!E15+COS!E22+COS!E35+COS!E41+COS!E67+COS!E74</f>
        <v>6183</v>
      </c>
      <c r="F193" s="266">
        <f>COS!F8+COS!F15+COS!F22+COS!F35+COS!F41+COS!F67+COS!F74</f>
        <v>6683</v>
      </c>
      <c r="G193" s="266">
        <f>COS!G8+COS!G15+COS!G22+COS!G35+COS!G41+COS!G67+COS!G74</f>
        <v>5571.5</v>
      </c>
      <c r="H193" s="266">
        <f>COS!H8+COS!H15+COS!H22+COS!H35+COS!H41+COS!H67+COS!H74</f>
        <v>6827</v>
      </c>
      <c r="I193" s="266">
        <f>COS!I8+COS!I15+COS!I22+COS!I35+COS!I41+COS!I67+COS!I74</f>
        <v>4978</v>
      </c>
      <c r="J193" s="266">
        <f>COS!J8+COS!J15+COS!J22+COS!J35+COS!J41+COS!J67+COS!J74</f>
        <v>3484</v>
      </c>
      <c r="K193" s="266">
        <f>COS!K8+COS!K15+COS!K22+COS!K35+COS!K41+COS!K67+COS!K74</f>
        <v>4273</v>
      </c>
      <c r="L193" s="266">
        <f>COS!L8+COS!L15+COS!L22+COS!L35+COS!L41+COS!L67+COS!L74</f>
        <v>6326.5</v>
      </c>
      <c r="M193" s="266">
        <f>COS!M8+COS!M15+COS!M22+COS!M35+COS!M41+COS!M67+COS!M74</f>
        <v>5624</v>
      </c>
      <c r="N193" s="266">
        <f>COS!N8+COS!N15+COS!N22+COS!N35+COS!N41+COS!N67+COS!N74</f>
        <v>3271.5</v>
      </c>
      <c r="O193" s="266">
        <f t="shared" si="17"/>
        <v>62404.5</v>
      </c>
      <c r="P193" s="266"/>
      <c r="Q193" s="266"/>
    </row>
    <row r="194" spans="1:17">
      <c r="A194" s="29"/>
      <c r="B194" t="s">
        <v>438</v>
      </c>
      <c r="C194" s="266"/>
      <c r="D194" s="266">
        <f>COS!C52</f>
        <v>656.25</v>
      </c>
      <c r="E194" s="266">
        <f>COS!D52</f>
        <v>1312.5</v>
      </c>
      <c r="F194" s="266">
        <f>COS!E52</f>
        <v>3281.25</v>
      </c>
      <c r="G194" s="266">
        <f>COS!F52</f>
        <v>3281.25</v>
      </c>
      <c r="H194" s="266">
        <v>14221</v>
      </c>
      <c r="I194" s="266">
        <f>COS!H52</f>
        <v>3281.25</v>
      </c>
      <c r="J194" s="266">
        <f>COS!I52</f>
        <v>3281.25</v>
      </c>
      <c r="K194" s="266">
        <f>COS!J52</f>
        <v>0</v>
      </c>
      <c r="L194" s="266">
        <f>COS!K52</f>
        <v>3281.25</v>
      </c>
      <c r="M194" s="266">
        <f>COS!L52</f>
        <v>3281.25</v>
      </c>
      <c r="N194" s="266">
        <f>COS!M52</f>
        <v>1312.5</v>
      </c>
      <c r="O194" s="266">
        <f t="shared" si="17"/>
        <v>37189.75</v>
      </c>
      <c r="P194" s="266"/>
      <c r="Q194" s="266"/>
    </row>
    <row r="195" spans="1:17">
      <c r="A195" s="29"/>
      <c r="B195" t="s">
        <v>439</v>
      </c>
      <c r="C195" s="266" t="e">
        <f>COS!#REF!</f>
        <v>#REF!</v>
      </c>
      <c r="D195" s="266" t="e">
        <f>COS!#REF!</f>
        <v>#REF!</v>
      </c>
      <c r="E195" s="266" t="e">
        <f>COS!#REF!</f>
        <v>#REF!</v>
      </c>
      <c r="F195" s="266" t="e">
        <f>COS!#REF!</f>
        <v>#REF!</v>
      </c>
      <c r="G195" s="266" t="e">
        <f>COS!#REF!</f>
        <v>#REF!</v>
      </c>
      <c r="H195" s="266" t="e">
        <f>COS!#REF!</f>
        <v>#REF!</v>
      </c>
      <c r="I195" s="266" t="e">
        <f>COS!#REF!</f>
        <v>#REF!</v>
      </c>
      <c r="J195" s="266" t="e">
        <f>COS!#REF!</f>
        <v>#REF!</v>
      </c>
      <c r="K195" s="266" t="e">
        <f>COS!#REF!</f>
        <v>#REF!</v>
      </c>
      <c r="L195" s="266" t="e">
        <f>COS!#REF!</f>
        <v>#REF!</v>
      </c>
      <c r="M195" s="266" t="e">
        <f>COS!#REF!</f>
        <v>#REF!</v>
      </c>
      <c r="N195" s="266" t="e">
        <f>COS!#REF!</f>
        <v>#REF!</v>
      </c>
      <c r="O195" s="266" t="e">
        <f t="shared" si="17"/>
        <v>#REF!</v>
      </c>
      <c r="P195" s="266"/>
      <c r="Q195" s="266"/>
    </row>
    <row r="196" spans="1:17">
      <c r="A196" s="29"/>
      <c r="C196" s="266"/>
      <c r="D196" s="266"/>
      <c r="E196" s="266"/>
      <c r="F196" s="266"/>
      <c r="G196" s="266"/>
      <c r="H196" s="266"/>
      <c r="I196" s="266"/>
      <c r="J196" s="266"/>
      <c r="K196" s="266"/>
      <c r="L196" s="266"/>
      <c r="M196" s="266"/>
      <c r="N196" s="266"/>
      <c r="O196" s="266"/>
      <c r="P196" s="266"/>
      <c r="Q196" s="266"/>
    </row>
    <row r="197" spans="1:17">
      <c r="A197" s="29"/>
      <c r="C197" s="266" t="e">
        <f>SUM(C189:C196)</f>
        <v>#REF!</v>
      </c>
      <c r="D197" s="266" t="e">
        <f t="shared" ref="D197:O197" si="18">SUM(D189:D196)</f>
        <v>#REF!</v>
      </c>
      <c r="E197" s="266" t="e">
        <f t="shared" si="18"/>
        <v>#REF!</v>
      </c>
      <c r="F197" s="266" t="e">
        <f t="shared" si="18"/>
        <v>#REF!</v>
      </c>
      <c r="G197" s="266" t="e">
        <f t="shared" si="18"/>
        <v>#REF!</v>
      </c>
      <c r="H197" s="266" t="e">
        <f t="shared" si="18"/>
        <v>#REF!</v>
      </c>
      <c r="I197" s="266" t="e">
        <f t="shared" si="18"/>
        <v>#REF!</v>
      </c>
      <c r="J197" s="266" t="e">
        <f t="shared" si="18"/>
        <v>#REF!</v>
      </c>
      <c r="K197" s="266" t="e">
        <f t="shared" si="18"/>
        <v>#REF!</v>
      </c>
      <c r="L197" s="266" t="e">
        <f t="shared" si="18"/>
        <v>#REF!</v>
      </c>
      <c r="M197" s="266" t="e">
        <f t="shared" si="18"/>
        <v>#REF!</v>
      </c>
      <c r="N197" s="266" t="e">
        <f t="shared" si="18"/>
        <v>#REF!</v>
      </c>
      <c r="O197" s="266" t="e">
        <f t="shared" si="18"/>
        <v>#REF!</v>
      </c>
      <c r="P197" s="266" t="e">
        <f>SUM(C197:N197)</f>
        <v>#REF!</v>
      </c>
      <c r="Q197" s="266"/>
    </row>
    <row r="198" spans="1:17">
      <c r="A198" s="29"/>
      <c r="C198" s="266"/>
      <c r="D198" s="266"/>
      <c r="E198" s="266"/>
      <c r="F198" s="266"/>
      <c r="G198" s="266"/>
      <c r="H198" s="266"/>
      <c r="I198" s="266"/>
      <c r="J198" s="266"/>
      <c r="K198" s="266"/>
      <c r="L198" s="266"/>
      <c r="M198" s="266"/>
      <c r="N198" s="266"/>
      <c r="O198" s="266"/>
      <c r="P198" s="266"/>
      <c r="Q198" s="266"/>
    </row>
    <row r="199" spans="1:17">
      <c r="C199" s="266"/>
      <c r="D199" s="266"/>
      <c r="E199" s="266"/>
      <c r="F199" s="266"/>
      <c r="G199" s="266"/>
      <c r="H199" s="266"/>
      <c r="I199" s="266"/>
      <c r="J199" s="266"/>
      <c r="K199" s="266"/>
      <c r="L199" s="266"/>
      <c r="M199" s="266"/>
      <c r="N199" s="266"/>
      <c r="O199" s="266"/>
      <c r="P199" s="266"/>
      <c r="Q199" s="266"/>
    </row>
    <row r="200" spans="1:17">
      <c r="B200" s="30" t="s">
        <v>440</v>
      </c>
    </row>
    <row r="201" spans="1:17">
      <c r="B201" s="278" t="s">
        <v>443</v>
      </c>
    </row>
    <row r="202" spans="1:17">
      <c r="B202" t="s">
        <v>441</v>
      </c>
      <c r="C202" s="266">
        <f>SALES!E5</f>
        <v>25500</v>
      </c>
      <c r="D202" s="266">
        <f>SALES!H5</f>
        <v>27625</v>
      </c>
      <c r="E202" s="266">
        <f>SALES!K5</f>
        <v>27625</v>
      </c>
      <c r="F202" s="266">
        <f>SALES!N5</f>
        <v>27625</v>
      </c>
      <c r="G202" s="266">
        <f>SALES!Q5</f>
        <v>27625</v>
      </c>
      <c r="H202" s="266">
        <f>SALES!T5</f>
        <v>27625</v>
      </c>
      <c r="I202" s="266">
        <f>SALES!W5</f>
        <v>21250</v>
      </c>
      <c r="J202" s="266">
        <f>SALES!Z5</f>
        <v>21250</v>
      </c>
      <c r="K202" s="266">
        <f>SALES!AC5</f>
        <v>27625</v>
      </c>
      <c r="L202" s="266">
        <f>SALES!AF5</f>
        <v>27625</v>
      </c>
      <c r="M202" s="266">
        <f>SALES!AI5</f>
        <v>21250</v>
      </c>
      <c r="N202" s="266">
        <f>SALES!AL5</f>
        <v>21250</v>
      </c>
      <c r="O202" s="45">
        <f t="shared" ref="O202:O211" si="19">SUM(C202:N202)</f>
        <v>303875</v>
      </c>
    </row>
    <row r="203" spans="1:17">
      <c r="B203" t="s">
        <v>447</v>
      </c>
      <c r="C203" s="266" t="e">
        <f>SALES!#REF!*0.5</f>
        <v>#REF!</v>
      </c>
      <c r="D203" s="266" t="e">
        <f>SALES!#REF!*0.5</f>
        <v>#REF!</v>
      </c>
      <c r="E203" s="266" t="e">
        <f>SALES!#REF!*0.5</f>
        <v>#REF!</v>
      </c>
      <c r="F203" s="266" t="e">
        <f>SALES!#REF!*0.5</f>
        <v>#REF!</v>
      </c>
      <c r="G203" s="266" t="e">
        <f>SALES!#REF!*0.5</f>
        <v>#REF!</v>
      </c>
      <c r="H203" s="266" t="e">
        <f>SALES!#REF!*0.5</f>
        <v>#REF!</v>
      </c>
      <c r="I203" s="266" t="e">
        <f>SALES!#REF!*0.5</f>
        <v>#REF!</v>
      </c>
      <c r="J203" s="266" t="e">
        <f>SALES!#REF!*0.5</f>
        <v>#REF!</v>
      </c>
      <c r="K203" s="266" t="e">
        <f>SALES!#REF!*0.5</f>
        <v>#REF!</v>
      </c>
      <c r="L203" s="266" t="e">
        <f>SALES!#REF!*0.5</f>
        <v>#REF!</v>
      </c>
      <c r="M203" s="266" t="e">
        <f>SALES!#REF!*0.5</f>
        <v>#REF!</v>
      </c>
      <c r="N203" s="266" t="e">
        <f>SALES!#REF!*0.5</f>
        <v>#REF!</v>
      </c>
      <c r="O203" s="45" t="e">
        <f t="shared" si="19"/>
        <v>#REF!</v>
      </c>
    </row>
    <row r="204" spans="1:17">
      <c r="B204" t="s">
        <v>442</v>
      </c>
      <c r="C204" s="266" t="e">
        <f>SALES!#REF!</f>
        <v>#REF!</v>
      </c>
      <c r="D204" s="266" t="e">
        <f>SALES!#REF!</f>
        <v>#REF!</v>
      </c>
      <c r="E204" s="266">
        <f>SALES!K17</f>
        <v>78875</v>
      </c>
      <c r="F204" s="266" t="e">
        <f>SALES!#REF!</f>
        <v>#REF!</v>
      </c>
      <c r="G204" s="266" t="e">
        <f>SALES!#REF!</f>
        <v>#REF!</v>
      </c>
      <c r="H204" s="266" t="e">
        <f>SALES!#REF!</f>
        <v>#REF!</v>
      </c>
      <c r="I204" s="266" t="e">
        <f>SALES!#REF!</f>
        <v>#REF!</v>
      </c>
      <c r="J204" s="266" t="e">
        <f>SALES!#REF!</f>
        <v>#REF!</v>
      </c>
      <c r="K204" s="266" t="e">
        <f>SALES!#REF!</f>
        <v>#REF!</v>
      </c>
      <c r="L204" s="266" t="e">
        <f>SALES!#REF!</f>
        <v>#REF!</v>
      </c>
      <c r="M204" s="266" t="e">
        <f>SALES!#REF!</f>
        <v>#REF!</v>
      </c>
      <c r="N204" s="266" t="e">
        <f>SALES!#REF!</f>
        <v>#REF!</v>
      </c>
      <c r="O204" s="45" t="e">
        <f t="shared" si="19"/>
        <v>#REF!</v>
      </c>
    </row>
    <row r="205" spans="1:17">
      <c r="B205" t="s">
        <v>129</v>
      </c>
      <c r="C205" s="266">
        <f>SALES!E31</f>
        <v>14400</v>
      </c>
      <c r="D205" s="266">
        <f>SALES!H31</f>
        <v>21600</v>
      </c>
      <c r="E205" s="266">
        <f>SALES!K31</f>
        <v>36000</v>
      </c>
      <c r="F205" s="266">
        <f>SALES!N31</f>
        <v>45000</v>
      </c>
      <c r="G205" s="266">
        <f>SALES!Q31</f>
        <v>45000</v>
      </c>
      <c r="H205" s="266">
        <f>SALES!T31</f>
        <v>45000</v>
      </c>
      <c r="I205" s="266">
        <f>SALES!W31</f>
        <v>45000</v>
      </c>
      <c r="J205" s="266">
        <f>SALES!Z31</f>
        <v>36000</v>
      </c>
      <c r="K205" s="266">
        <f>SALES!AC31</f>
        <v>36000</v>
      </c>
      <c r="L205" s="266">
        <f>SALES!AF31</f>
        <v>45000</v>
      </c>
      <c r="M205" s="266">
        <f>SALES!AI31</f>
        <v>36000</v>
      </c>
      <c r="N205" s="266">
        <f>SALES!AL31</f>
        <v>27000</v>
      </c>
      <c r="O205" s="45">
        <f t="shared" si="19"/>
        <v>432000</v>
      </c>
    </row>
    <row r="206" spans="1:17">
      <c r="C206" s="266"/>
      <c r="D206" s="266"/>
      <c r="E206" s="266"/>
      <c r="F206" s="266"/>
      <c r="G206" s="266"/>
      <c r="H206" s="266"/>
      <c r="I206" s="266"/>
      <c r="J206" s="266"/>
      <c r="K206" s="266"/>
      <c r="L206" s="266"/>
      <c r="M206" s="266"/>
      <c r="N206" s="266"/>
      <c r="O206" s="45">
        <f t="shared" si="19"/>
        <v>0</v>
      </c>
    </row>
    <row r="207" spans="1:17">
      <c r="B207" s="278" t="s">
        <v>444</v>
      </c>
      <c r="C207" s="266"/>
      <c r="D207" s="266"/>
      <c r="E207" s="266"/>
      <c r="F207" s="266"/>
      <c r="G207" s="266"/>
      <c r="H207" s="266"/>
      <c r="I207" s="266"/>
      <c r="J207" s="266"/>
      <c r="K207" s="266"/>
      <c r="L207" s="266"/>
      <c r="M207" s="266"/>
      <c r="N207" s="266"/>
      <c r="O207" s="45">
        <f t="shared" si="19"/>
        <v>0</v>
      </c>
    </row>
    <row r="208" spans="1:17">
      <c r="B208" t="s">
        <v>445</v>
      </c>
      <c r="C208" s="266" t="e">
        <f>0.2*SALES!#REF!</f>
        <v>#REF!</v>
      </c>
      <c r="D208" s="266" t="e">
        <f>SALES!#REF!*0.2</f>
        <v>#REF!</v>
      </c>
      <c r="E208" s="266" t="e">
        <f>SALES!#REF!*0.2</f>
        <v>#REF!</v>
      </c>
      <c r="F208" s="266" t="e">
        <f>SALES!#REF!*0.2</f>
        <v>#REF!</v>
      </c>
      <c r="G208" s="266" t="e">
        <f>SALES!#REF!*2</f>
        <v>#REF!</v>
      </c>
      <c r="H208" s="266" t="e">
        <f>SALES!#REF!*0.2</f>
        <v>#REF!</v>
      </c>
      <c r="I208" s="266" t="e">
        <f>SALES!#REF!*0.2</f>
        <v>#REF!</v>
      </c>
      <c r="J208" s="266" t="e">
        <f>SALES!#REF!*0.2</f>
        <v>#REF!</v>
      </c>
      <c r="K208" s="266" t="e">
        <f>SALES!#REF!*0.2</f>
        <v>#REF!</v>
      </c>
      <c r="L208" s="266" t="e">
        <f>SALES!#REF!*0.2</f>
        <v>#REF!</v>
      </c>
      <c r="M208" s="266" t="e">
        <f>SALES!#REF!*0.2</f>
        <v>#REF!</v>
      </c>
      <c r="N208" s="266" t="e">
        <f>SALES!#REF!*0.2</f>
        <v>#REF!</v>
      </c>
      <c r="O208" s="45" t="e">
        <f t="shared" si="19"/>
        <v>#REF!</v>
      </c>
    </row>
    <row r="209" spans="1:25">
      <c r="B209" t="s">
        <v>446</v>
      </c>
      <c r="C209" s="266" t="e">
        <f>0.4*SALES!#REF!</f>
        <v>#REF!</v>
      </c>
      <c r="D209" s="266" t="e">
        <f>SALES!#REF!*0.4</f>
        <v>#REF!</v>
      </c>
      <c r="E209" s="266" t="e">
        <f>SALES!#REF!*0.4</f>
        <v>#REF!</v>
      </c>
      <c r="F209" s="266" t="e">
        <f>SALES!#REF!*0.4</f>
        <v>#REF!</v>
      </c>
      <c r="G209" s="266" t="e">
        <f>SALES!#REF!*0.4</f>
        <v>#REF!</v>
      </c>
      <c r="H209" s="266" t="e">
        <f>SALES!#REF!*0.4</f>
        <v>#REF!</v>
      </c>
      <c r="I209" s="266" t="e">
        <f>SALES!#REF!*0.4</f>
        <v>#REF!</v>
      </c>
      <c r="J209" s="266" t="e">
        <f>SALES!#REF!*0.4</f>
        <v>#REF!</v>
      </c>
      <c r="K209" s="266" t="e">
        <f>SALES!#REF!*0.4</f>
        <v>#REF!</v>
      </c>
      <c r="L209" s="266" t="e">
        <f>SALES!#REF!*0.4</f>
        <v>#REF!</v>
      </c>
      <c r="M209" s="266" t="e">
        <f>SALES!#REF!*0.4</f>
        <v>#REF!</v>
      </c>
      <c r="N209" s="266" t="e">
        <f>SALES!#REF!*0.4</f>
        <v>#REF!</v>
      </c>
      <c r="O209" s="45" t="e">
        <f t="shared" si="19"/>
        <v>#REF!</v>
      </c>
    </row>
    <row r="210" spans="1:25">
      <c r="O210" s="45">
        <f t="shared" si="19"/>
        <v>0</v>
      </c>
    </row>
    <row r="211" spans="1:25">
      <c r="O211" s="45">
        <f t="shared" si="19"/>
        <v>0</v>
      </c>
    </row>
    <row r="212" spans="1:25" s="280" customFormat="1" ht="13.5" thickBot="1">
      <c r="C212" s="297" t="e">
        <f>SUM(C202:C210)</f>
        <v>#REF!</v>
      </c>
      <c r="D212" s="297" t="e">
        <f t="shared" ref="D212:O212" si="20">SUM(D202:D210)</f>
        <v>#REF!</v>
      </c>
      <c r="E212" s="297" t="e">
        <f t="shared" si="20"/>
        <v>#REF!</v>
      </c>
      <c r="F212" s="297" t="e">
        <f t="shared" si="20"/>
        <v>#REF!</v>
      </c>
      <c r="G212" s="297" t="e">
        <f t="shared" si="20"/>
        <v>#REF!</v>
      </c>
      <c r="H212" s="297" t="e">
        <f t="shared" si="20"/>
        <v>#REF!</v>
      </c>
      <c r="I212" s="297" t="e">
        <f t="shared" si="20"/>
        <v>#REF!</v>
      </c>
      <c r="J212" s="297" t="e">
        <f t="shared" si="20"/>
        <v>#REF!</v>
      </c>
      <c r="K212" s="297" t="e">
        <f t="shared" si="20"/>
        <v>#REF!</v>
      </c>
      <c r="L212" s="297" t="e">
        <f t="shared" si="20"/>
        <v>#REF!</v>
      </c>
      <c r="M212" s="297" t="e">
        <f t="shared" si="20"/>
        <v>#REF!</v>
      </c>
      <c r="N212" s="297" t="e">
        <f t="shared" si="20"/>
        <v>#REF!</v>
      </c>
      <c r="O212" s="297" t="e">
        <f t="shared" si="20"/>
        <v>#REF!</v>
      </c>
      <c r="P212" s="297" t="e">
        <f>SUM(C212:N212)</f>
        <v>#REF!</v>
      </c>
    </row>
    <row r="213" spans="1:25" ht="13.5" thickTop="1"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</row>
    <row r="214" spans="1:25">
      <c r="A214" s="29"/>
      <c r="B214" s="32" t="s">
        <v>423</v>
      </c>
    </row>
    <row r="215" spans="1:25">
      <c r="A215" s="29"/>
      <c r="B215" t="s">
        <v>448</v>
      </c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>
        <f>SUM(C215:N215)</f>
        <v>0</v>
      </c>
      <c r="P215" s="298"/>
      <c r="Q215" s="163"/>
      <c r="R215" s="163"/>
      <c r="S215" s="163"/>
      <c r="T215" s="163"/>
      <c r="U215" s="163"/>
      <c r="V215" s="163"/>
      <c r="W215" s="163"/>
      <c r="X215" s="163"/>
      <c r="Y215" s="163"/>
    </row>
    <row r="216" spans="1:25">
      <c r="A216" s="29"/>
      <c r="B216" t="s">
        <v>424</v>
      </c>
      <c r="C216" s="298"/>
      <c r="D216" s="298" t="e">
        <f>0.5*(SALES!E6+SALES!E17+SALES!#REF!+SALES!E19+SALES!E25+SALES!E25+SALES!E44+SALES!#REF!)</f>
        <v>#REF!</v>
      </c>
      <c r="E216" s="298" t="e">
        <f>D216</f>
        <v>#REF!</v>
      </c>
      <c r="F216" s="298"/>
      <c r="G216" s="298"/>
      <c r="H216" s="298"/>
      <c r="I216" s="298"/>
      <c r="J216" s="298"/>
      <c r="K216" s="298"/>
      <c r="L216" s="298"/>
      <c r="M216" s="298"/>
      <c r="N216" s="298"/>
      <c r="O216" s="298" t="e">
        <f t="shared" ref="O216:O227" si="21">SUM(C216:N216)</f>
        <v>#REF!</v>
      </c>
      <c r="P216" s="298"/>
      <c r="Q216" s="163"/>
      <c r="R216" s="163"/>
      <c r="S216" s="163"/>
      <c r="T216" s="163"/>
      <c r="U216" s="163"/>
      <c r="V216" s="163"/>
      <c r="W216" s="163"/>
      <c r="X216" s="163"/>
      <c r="Y216" s="163"/>
    </row>
    <row r="217" spans="1:25">
      <c r="A217" s="29"/>
      <c r="B217" t="s">
        <v>425</v>
      </c>
      <c r="C217" s="298"/>
      <c r="D217" s="298"/>
      <c r="E217" s="298" t="e">
        <f>0.5*(SALES!H6+SALES!H17+SALES!#REF!+SALES!H19+SALES!H25+SALES!H44)</f>
        <v>#REF!</v>
      </c>
      <c r="F217" s="298" t="e">
        <f>E217</f>
        <v>#REF!</v>
      </c>
      <c r="G217" s="298"/>
      <c r="H217" s="298"/>
      <c r="I217" s="298"/>
      <c r="J217" s="298"/>
      <c r="K217" s="298"/>
      <c r="L217" s="298"/>
      <c r="M217" s="298"/>
      <c r="N217" s="298"/>
      <c r="O217" s="298" t="e">
        <f t="shared" si="21"/>
        <v>#REF!</v>
      </c>
      <c r="P217" s="298"/>
      <c r="Q217" s="163"/>
      <c r="R217" s="163"/>
      <c r="S217" s="163"/>
      <c r="T217" s="163"/>
      <c r="U217" s="163"/>
      <c r="V217" s="163"/>
      <c r="W217" s="163"/>
      <c r="X217" s="163"/>
      <c r="Y217" s="163"/>
    </row>
    <row r="218" spans="1:25">
      <c r="A218" s="29"/>
      <c r="B218" t="s">
        <v>426</v>
      </c>
      <c r="C218" s="298"/>
      <c r="D218" s="298"/>
      <c r="E218" s="298"/>
      <c r="F218" s="298" t="e">
        <f>0.5*(SALES!K6+SALES!K17+SALES!#REF!+SALES!K19+SALES!K25+SALES!K44)</f>
        <v>#REF!</v>
      </c>
      <c r="G218" s="298" t="e">
        <f>F218</f>
        <v>#REF!</v>
      </c>
      <c r="H218" s="298"/>
      <c r="I218" s="298"/>
      <c r="J218" s="298"/>
      <c r="K218" s="298"/>
      <c r="L218" s="298"/>
      <c r="M218" s="298"/>
      <c r="N218" s="298"/>
      <c r="O218" s="298" t="e">
        <f t="shared" si="21"/>
        <v>#REF!</v>
      </c>
      <c r="P218" s="298"/>
      <c r="Q218" s="163"/>
      <c r="R218" s="163"/>
      <c r="S218" s="163"/>
      <c r="T218" s="163"/>
      <c r="U218" s="163"/>
      <c r="V218" s="163"/>
      <c r="W218" s="163"/>
      <c r="X218" s="163"/>
      <c r="Y218" s="163"/>
    </row>
    <row r="219" spans="1:25">
      <c r="A219" s="29"/>
      <c r="B219" t="s">
        <v>427</v>
      </c>
      <c r="C219" s="298"/>
      <c r="D219" s="298"/>
      <c r="E219" s="298"/>
      <c r="F219" s="298"/>
      <c r="G219" s="298" t="e">
        <f>0.5*(SALES!N6+SALES!N17+SALES!#REF!+SALES!N19+SALES!N25++SALES!N44)</f>
        <v>#REF!</v>
      </c>
      <c r="H219" s="298" t="e">
        <f>G219</f>
        <v>#REF!</v>
      </c>
      <c r="I219" s="298"/>
      <c r="J219" s="298"/>
      <c r="K219" s="298"/>
      <c r="L219" s="298"/>
      <c r="M219" s="298"/>
      <c r="N219" s="298"/>
      <c r="O219" s="298" t="e">
        <f t="shared" si="21"/>
        <v>#REF!</v>
      </c>
      <c r="P219" s="298"/>
      <c r="Q219" s="163"/>
      <c r="R219" s="163"/>
      <c r="S219" s="163"/>
      <c r="T219" s="163"/>
      <c r="U219" s="163"/>
      <c r="V219" s="163"/>
      <c r="W219" s="163"/>
      <c r="X219" s="163"/>
      <c r="Y219" s="163"/>
    </row>
    <row r="220" spans="1:25">
      <c r="A220" s="29"/>
      <c r="B220" t="s">
        <v>428</v>
      </c>
      <c r="C220" s="298"/>
      <c r="D220" s="298"/>
      <c r="E220" s="298"/>
      <c r="F220" s="298"/>
      <c r="G220" s="298"/>
      <c r="H220" s="298" t="e">
        <f>0.5*(SALES!Q6+SALES!Q17+SALES!#REF!+SALES!Q19+SALES!Q25++SALES!Q44)</f>
        <v>#REF!</v>
      </c>
      <c r="I220" s="298" t="e">
        <f>H220</f>
        <v>#REF!</v>
      </c>
      <c r="J220" s="298"/>
      <c r="K220" s="298"/>
      <c r="L220" s="298"/>
      <c r="M220" s="298"/>
      <c r="N220" s="298"/>
      <c r="O220" s="298" t="e">
        <f t="shared" si="21"/>
        <v>#REF!</v>
      </c>
      <c r="P220" s="298"/>
      <c r="Q220" s="163"/>
      <c r="R220" s="163"/>
      <c r="S220" s="163"/>
      <c r="T220" s="163"/>
      <c r="U220" s="163"/>
      <c r="V220" s="163"/>
      <c r="W220" s="163"/>
      <c r="X220" s="163"/>
      <c r="Y220" s="163"/>
    </row>
    <row r="221" spans="1:25">
      <c r="A221" s="29"/>
      <c r="B221" t="s">
        <v>429</v>
      </c>
      <c r="C221" s="298"/>
      <c r="D221" s="298"/>
      <c r="E221" s="298"/>
      <c r="F221" s="298"/>
      <c r="G221" s="298"/>
      <c r="H221" s="298"/>
      <c r="I221" s="298" t="e">
        <f>0.5*(SALES!T6+SALES!T17+SALES!#REF!+SALES!T19+SALES!T25++SALES!T44)</f>
        <v>#REF!</v>
      </c>
      <c r="J221" s="298" t="e">
        <f>I221</f>
        <v>#REF!</v>
      </c>
      <c r="K221" s="298"/>
      <c r="L221" s="298"/>
      <c r="M221" s="298"/>
      <c r="N221" s="298"/>
      <c r="O221" s="298" t="e">
        <f t="shared" si="21"/>
        <v>#REF!</v>
      </c>
      <c r="P221" s="298"/>
      <c r="Q221" s="163"/>
      <c r="R221" s="163"/>
      <c r="S221" s="163"/>
      <c r="T221" s="163"/>
      <c r="U221" s="163"/>
      <c r="V221" s="163"/>
      <c r="W221" s="163"/>
      <c r="X221" s="163"/>
      <c r="Y221" s="163"/>
    </row>
    <row r="222" spans="1:25">
      <c r="A222" s="29"/>
      <c r="B222" t="s">
        <v>430</v>
      </c>
      <c r="C222" s="298"/>
      <c r="D222" s="298"/>
      <c r="E222" s="298"/>
      <c r="F222" s="298"/>
      <c r="G222" s="298"/>
      <c r="H222" s="298"/>
      <c r="I222" s="298"/>
      <c r="J222" s="298" t="e">
        <f>0.5*(SALES!W6+SALES!W17+SALES!#REF!+SALES!W19+SALES!W25+SALES!W44)</f>
        <v>#REF!</v>
      </c>
      <c r="K222" s="298" t="e">
        <f>J222</f>
        <v>#REF!</v>
      </c>
      <c r="L222" s="298"/>
      <c r="M222" s="298"/>
      <c r="N222" s="298"/>
      <c r="O222" s="298" t="e">
        <f t="shared" si="21"/>
        <v>#REF!</v>
      </c>
      <c r="P222" s="298"/>
      <c r="Q222" s="163"/>
      <c r="R222" s="163"/>
      <c r="S222" s="163"/>
      <c r="T222" s="163"/>
      <c r="U222" s="163"/>
      <c r="V222" s="163"/>
      <c r="W222" s="163"/>
      <c r="X222" s="163"/>
      <c r="Y222" s="163"/>
    </row>
    <row r="223" spans="1:25">
      <c r="A223" s="29"/>
      <c r="B223" t="s">
        <v>431</v>
      </c>
      <c r="C223" s="298"/>
      <c r="D223" s="298"/>
      <c r="E223" s="298"/>
      <c r="F223" s="298"/>
      <c r="G223" s="298"/>
      <c r="H223" s="298"/>
      <c r="I223" s="298"/>
      <c r="J223" s="298"/>
      <c r="K223" s="298" t="e">
        <f>0.5*(SALES!Z6+SALES!Z17+SALES!#REF!+SALES!Z19+SALES!Z25++SALES!Z44)</f>
        <v>#REF!</v>
      </c>
      <c r="L223" s="298" t="e">
        <f>K223</f>
        <v>#REF!</v>
      </c>
      <c r="M223" s="298"/>
      <c r="N223" s="298"/>
      <c r="O223" s="298" t="e">
        <f t="shared" si="21"/>
        <v>#REF!</v>
      </c>
      <c r="P223" s="298"/>
      <c r="Q223" s="163"/>
      <c r="R223" s="163"/>
      <c r="S223" s="163"/>
      <c r="T223" s="163"/>
      <c r="U223" s="163"/>
      <c r="V223" s="163"/>
      <c r="W223" s="163"/>
      <c r="X223" s="163"/>
      <c r="Y223" s="163"/>
    </row>
    <row r="224" spans="1:25">
      <c r="A224" s="29"/>
      <c r="B224" t="s">
        <v>432</v>
      </c>
      <c r="C224" s="298"/>
      <c r="D224" s="298"/>
      <c r="E224" s="298"/>
      <c r="F224" s="298"/>
      <c r="G224" s="298"/>
      <c r="H224" s="298"/>
      <c r="I224" s="298"/>
      <c r="J224" s="298"/>
      <c r="K224" s="298"/>
      <c r="L224" s="298" t="e">
        <f>0.5*(SALES!AF6+SALES!AF17+SALES!#REF!+SALES!AF19+SALES!AF25+SALES!AF44)</f>
        <v>#REF!</v>
      </c>
      <c r="M224" s="298" t="e">
        <f>L224</f>
        <v>#REF!</v>
      </c>
      <c r="N224" s="298"/>
      <c r="O224" s="298" t="e">
        <f t="shared" si="21"/>
        <v>#REF!</v>
      </c>
      <c r="P224" s="298"/>
      <c r="Q224" s="163"/>
      <c r="R224" s="163"/>
      <c r="S224" s="163"/>
      <c r="T224" s="163"/>
      <c r="U224" s="163"/>
      <c r="V224" s="163"/>
      <c r="W224" s="163"/>
      <c r="X224" s="163"/>
      <c r="Y224" s="163"/>
    </row>
    <row r="225" spans="1:25">
      <c r="A225" s="29"/>
      <c r="B225" t="s">
        <v>433</v>
      </c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 t="e">
        <f>0.5*(SALES!AF6+SALES!AF17+SALES!#REF!+SALES!AF19+SALES!AF25+SALES!AF44)</f>
        <v>#REF!</v>
      </c>
      <c r="N225" s="298" t="e">
        <f>M225</f>
        <v>#REF!</v>
      </c>
      <c r="O225" s="298" t="e">
        <f t="shared" si="21"/>
        <v>#REF!</v>
      </c>
      <c r="P225" s="298"/>
      <c r="Q225" s="163"/>
      <c r="R225" s="163"/>
      <c r="S225" s="163"/>
      <c r="T225" s="163"/>
      <c r="U225" s="163"/>
      <c r="V225" s="163"/>
      <c r="W225" s="163"/>
      <c r="X225" s="163"/>
      <c r="Y225" s="163"/>
    </row>
    <row r="226" spans="1:25">
      <c r="A226" s="29"/>
      <c r="B226" t="s">
        <v>434</v>
      </c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 t="e">
        <f>0.5*(SALES!AI6+SALES!AI17+SALES!#REF!++SALES!AI19+SALES!AI25+SALES!AI44)</f>
        <v>#REF!</v>
      </c>
      <c r="O226" s="298" t="e">
        <f t="shared" si="21"/>
        <v>#REF!</v>
      </c>
      <c r="P226" s="298"/>
      <c r="Q226" s="163"/>
      <c r="R226" s="163"/>
      <c r="S226" s="163"/>
      <c r="T226" s="163"/>
      <c r="U226" s="163"/>
      <c r="V226" s="163"/>
      <c r="W226" s="163"/>
      <c r="X226" s="163"/>
      <c r="Y226" s="163"/>
    </row>
    <row r="227" spans="1:25">
      <c r="A227" s="29"/>
      <c r="B227" t="s">
        <v>435</v>
      </c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>
        <f t="shared" si="21"/>
        <v>0</v>
      </c>
      <c r="P227" s="298"/>
      <c r="Q227" s="163"/>
      <c r="R227" s="163"/>
      <c r="S227" s="163"/>
      <c r="T227" s="163"/>
      <c r="U227" s="163"/>
      <c r="V227" s="163"/>
      <c r="W227" s="163"/>
      <c r="X227" s="163"/>
      <c r="Y227" s="163"/>
    </row>
    <row r="228" spans="1:25">
      <c r="A228" s="29"/>
      <c r="C228" s="298"/>
      <c r="D228" s="298"/>
      <c r="E228" s="298"/>
      <c r="F228" s="298"/>
      <c r="G228" s="298"/>
      <c r="H228" s="298"/>
      <c r="I228" s="298">
        <v>0</v>
      </c>
      <c r="J228" s="298"/>
      <c r="K228" s="298"/>
      <c r="L228" s="298"/>
      <c r="M228" s="298"/>
      <c r="N228" s="298"/>
      <c r="O228" s="298"/>
      <c r="P228" s="298"/>
      <c r="Q228" s="163"/>
      <c r="R228" s="163"/>
      <c r="S228" s="163"/>
      <c r="T228" s="163"/>
      <c r="U228" s="163"/>
      <c r="V228" s="163"/>
      <c r="W228" s="163"/>
      <c r="X228" s="163"/>
      <c r="Y228" s="163"/>
    </row>
    <row r="229" spans="1:25" s="280" customFormat="1" ht="13.5" thickBot="1">
      <c r="A229" s="296"/>
      <c r="B229" s="280" t="s">
        <v>535</v>
      </c>
      <c r="C229" s="299">
        <f t="shared" ref="C229:O229" si="22">SUM(C215:C228)</f>
        <v>0</v>
      </c>
      <c r="D229" s="299" t="e">
        <f t="shared" si="22"/>
        <v>#REF!</v>
      </c>
      <c r="E229" s="299" t="e">
        <f t="shared" si="22"/>
        <v>#REF!</v>
      </c>
      <c r="F229" s="299" t="e">
        <f t="shared" si="22"/>
        <v>#REF!</v>
      </c>
      <c r="G229" s="299" t="e">
        <f t="shared" si="22"/>
        <v>#REF!</v>
      </c>
      <c r="H229" s="299" t="e">
        <f t="shared" si="22"/>
        <v>#REF!</v>
      </c>
      <c r="I229" s="299" t="e">
        <f t="shared" si="22"/>
        <v>#REF!</v>
      </c>
      <c r="J229" s="299" t="e">
        <f t="shared" si="22"/>
        <v>#REF!</v>
      </c>
      <c r="K229" s="299" t="e">
        <f t="shared" si="22"/>
        <v>#REF!</v>
      </c>
      <c r="L229" s="299" t="e">
        <f t="shared" si="22"/>
        <v>#REF!</v>
      </c>
      <c r="M229" s="299" t="e">
        <f t="shared" si="22"/>
        <v>#REF!</v>
      </c>
      <c r="N229" s="299" t="e">
        <f t="shared" si="22"/>
        <v>#REF!</v>
      </c>
      <c r="O229" s="299" t="e">
        <f t="shared" si="22"/>
        <v>#REF!</v>
      </c>
      <c r="P229" s="300" t="e">
        <f>SUM(C229:N229)</f>
        <v>#REF!</v>
      </c>
      <c r="Q229" s="300"/>
      <c r="R229" s="300"/>
      <c r="S229" s="300"/>
      <c r="T229" s="300"/>
      <c r="U229" s="300"/>
      <c r="V229" s="300"/>
      <c r="W229" s="300"/>
      <c r="X229" s="300"/>
      <c r="Y229" s="300"/>
    </row>
    <row r="230" spans="1:25" ht="13.5" thickTop="1"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</row>
    <row r="231" spans="1:25">
      <c r="B231" s="278" t="s">
        <v>443</v>
      </c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</row>
    <row r="232" spans="1:25">
      <c r="B232" t="s">
        <v>449</v>
      </c>
      <c r="C232" s="163"/>
      <c r="D232" s="298" t="e">
        <f>C203</f>
        <v>#REF!</v>
      </c>
      <c r="E232" s="298" t="e">
        <f t="shared" ref="E232:N232" si="23">D203</f>
        <v>#REF!</v>
      </c>
      <c r="F232" s="298" t="e">
        <f t="shared" si="23"/>
        <v>#REF!</v>
      </c>
      <c r="G232" s="298" t="e">
        <f t="shared" si="23"/>
        <v>#REF!</v>
      </c>
      <c r="H232" s="298" t="e">
        <f t="shared" si="23"/>
        <v>#REF!</v>
      </c>
      <c r="I232" s="298" t="e">
        <f t="shared" si="23"/>
        <v>#REF!</v>
      </c>
      <c r="J232" s="298" t="e">
        <f t="shared" si="23"/>
        <v>#REF!</v>
      </c>
      <c r="K232" s="298" t="e">
        <f t="shared" si="23"/>
        <v>#REF!</v>
      </c>
      <c r="L232" s="298" t="e">
        <f t="shared" si="23"/>
        <v>#REF!</v>
      </c>
      <c r="M232" s="298" t="e">
        <f t="shared" si="23"/>
        <v>#REF!</v>
      </c>
      <c r="N232" s="298" t="e">
        <f t="shared" si="23"/>
        <v>#REF!</v>
      </c>
      <c r="O232" s="298" t="e">
        <f>SUM(C232:N232)</f>
        <v>#REF!</v>
      </c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</row>
    <row r="233" spans="1:25">
      <c r="C233" s="163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</row>
    <row r="234" spans="1:25" s="280" customFormat="1" ht="13.5" thickBot="1">
      <c r="B234" s="280" t="s">
        <v>535</v>
      </c>
      <c r="C234" s="301">
        <f>SUM(C232:C233)</f>
        <v>0</v>
      </c>
      <c r="D234" s="301" t="e">
        <f t="shared" ref="D234:O234" si="24">SUM(D232:D233)</f>
        <v>#REF!</v>
      </c>
      <c r="E234" s="301" t="e">
        <f t="shared" si="24"/>
        <v>#REF!</v>
      </c>
      <c r="F234" s="301" t="e">
        <f t="shared" si="24"/>
        <v>#REF!</v>
      </c>
      <c r="G234" s="301" t="e">
        <f t="shared" si="24"/>
        <v>#REF!</v>
      </c>
      <c r="H234" s="301" t="e">
        <f t="shared" si="24"/>
        <v>#REF!</v>
      </c>
      <c r="I234" s="301" t="e">
        <f t="shared" si="24"/>
        <v>#REF!</v>
      </c>
      <c r="J234" s="301" t="e">
        <f t="shared" si="24"/>
        <v>#REF!</v>
      </c>
      <c r="K234" s="301" t="e">
        <f t="shared" si="24"/>
        <v>#REF!</v>
      </c>
      <c r="L234" s="301" t="e">
        <f t="shared" si="24"/>
        <v>#REF!</v>
      </c>
      <c r="M234" s="301" t="e">
        <f t="shared" si="24"/>
        <v>#REF!</v>
      </c>
      <c r="N234" s="301" t="e">
        <f t="shared" si="24"/>
        <v>#REF!</v>
      </c>
      <c r="O234" s="301" t="e">
        <f t="shared" si="24"/>
        <v>#REF!</v>
      </c>
      <c r="P234" s="300" t="e">
        <f>SUM(C234:N234)</f>
        <v>#REF!</v>
      </c>
      <c r="Q234" s="300"/>
      <c r="R234" s="300"/>
      <c r="S234" s="300"/>
      <c r="T234" s="300"/>
      <c r="U234" s="300"/>
      <c r="V234" s="300"/>
      <c r="W234" s="300"/>
      <c r="X234" s="300"/>
      <c r="Y234" s="300"/>
    </row>
    <row r="235" spans="1:25" ht="13.5" thickTop="1"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</row>
    <row r="236" spans="1:25">
      <c r="B236" s="278" t="s">
        <v>444</v>
      </c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>
        <f t="shared" ref="O236:O248" si="25">SUM(C236:N236)</f>
        <v>0</v>
      </c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</row>
    <row r="237" spans="1:25">
      <c r="B237" s="63" t="s">
        <v>572</v>
      </c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>
        <f t="shared" si="25"/>
        <v>0</v>
      </c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</row>
    <row r="238" spans="1:25">
      <c r="B238" t="s">
        <v>451</v>
      </c>
      <c r="C238" s="163"/>
      <c r="D238" s="163" t="e">
        <f>0.33*SALES!#REF!</f>
        <v>#REF!</v>
      </c>
      <c r="E238" s="163" t="e">
        <f>0.27*SALES!#REF!</f>
        <v>#REF!</v>
      </c>
      <c r="F238" s="163"/>
      <c r="G238" s="163"/>
      <c r="H238" s="163"/>
      <c r="I238" s="163"/>
      <c r="J238" s="163"/>
      <c r="K238" s="163"/>
      <c r="L238" s="163"/>
      <c r="M238" s="163"/>
      <c r="N238" s="163"/>
      <c r="O238" s="163" t="e">
        <f t="shared" si="25"/>
        <v>#REF!</v>
      </c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</row>
    <row r="239" spans="1:25">
      <c r="B239" t="s">
        <v>450</v>
      </c>
      <c r="C239" s="163"/>
      <c r="D239" s="163"/>
      <c r="E239" s="163" t="e">
        <f>0.33*SALES!#REF!</f>
        <v>#REF!</v>
      </c>
      <c r="F239" s="163" t="e">
        <f>0.27*SALES!#REF!</f>
        <v>#REF!</v>
      </c>
      <c r="G239" s="163"/>
      <c r="H239" s="163"/>
      <c r="I239" s="163"/>
      <c r="J239" s="163"/>
      <c r="K239" s="163"/>
      <c r="L239" s="163"/>
      <c r="M239" s="163"/>
      <c r="N239" s="163"/>
      <c r="O239" s="163" t="e">
        <f t="shared" si="25"/>
        <v>#REF!</v>
      </c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</row>
    <row r="240" spans="1:25">
      <c r="B240" t="s">
        <v>452</v>
      </c>
      <c r="C240" s="163"/>
      <c r="D240" s="163"/>
      <c r="E240" s="163"/>
      <c r="F240" s="163" t="e">
        <f>0.33*SALES!#REF!</f>
        <v>#REF!</v>
      </c>
      <c r="G240" s="163" t="e">
        <f>0.27*SALES!#REF!</f>
        <v>#REF!</v>
      </c>
      <c r="H240" s="163"/>
      <c r="I240" s="163"/>
      <c r="J240" s="163"/>
      <c r="K240" s="163"/>
      <c r="L240" s="163"/>
      <c r="M240" s="163"/>
      <c r="N240" s="163"/>
      <c r="O240" s="163" t="e">
        <f t="shared" si="25"/>
        <v>#REF!</v>
      </c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</row>
    <row r="241" spans="2:25">
      <c r="B241" t="s">
        <v>453</v>
      </c>
      <c r="C241" s="163"/>
      <c r="D241" s="163"/>
      <c r="E241" s="163"/>
      <c r="F241" s="163"/>
      <c r="G241" s="163" t="e">
        <f>SALES!#REF!*0.33</f>
        <v>#REF!</v>
      </c>
      <c r="H241" s="163" t="e">
        <f>SALES!#REF!*0.27</f>
        <v>#REF!</v>
      </c>
      <c r="I241" s="163"/>
      <c r="J241" s="163"/>
      <c r="K241" s="163"/>
      <c r="L241" s="163"/>
      <c r="M241" s="163"/>
      <c r="N241" s="163"/>
      <c r="O241" s="163" t="e">
        <f t="shared" si="25"/>
        <v>#REF!</v>
      </c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</row>
    <row r="242" spans="2:25">
      <c r="B242" t="s">
        <v>454</v>
      </c>
      <c r="C242" s="163"/>
      <c r="D242" s="163"/>
      <c r="E242" s="163"/>
      <c r="F242" s="163"/>
      <c r="G242" s="163"/>
      <c r="H242" s="163" t="e">
        <f>0.33*SALES!#REF!</f>
        <v>#REF!</v>
      </c>
      <c r="I242" s="163" t="e">
        <f>0.27*SALES!#REF!</f>
        <v>#REF!</v>
      </c>
      <c r="J242" s="163"/>
      <c r="K242" s="163"/>
      <c r="L242" s="163"/>
      <c r="M242" s="163"/>
      <c r="N242" s="163"/>
      <c r="O242" s="163" t="e">
        <f t="shared" si="25"/>
        <v>#REF!</v>
      </c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</row>
    <row r="243" spans="2:25">
      <c r="B243" t="s">
        <v>455</v>
      </c>
      <c r="C243" s="163"/>
      <c r="D243" s="163"/>
      <c r="E243" s="163"/>
      <c r="F243" s="163"/>
      <c r="G243" s="163"/>
      <c r="H243" s="163"/>
      <c r="I243" s="163" t="e">
        <f>SALES!#REF!*0.33</f>
        <v>#REF!</v>
      </c>
      <c r="J243" s="163" t="e">
        <f>0.27*SALES!#REF!</f>
        <v>#REF!</v>
      </c>
      <c r="K243" s="163"/>
      <c r="L243" s="163"/>
      <c r="M243" s="163"/>
      <c r="N243" s="163"/>
      <c r="O243" s="163" t="e">
        <f t="shared" si="25"/>
        <v>#REF!</v>
      </c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</row>
    <row r="244" spans="2:25">
      <c r="B244" t="s">
        <v>456</v>
      </c>
      <c r="C244" s="163"/>
      <c r="D244" s="163"/>
      <c r="E244" s="163"/>
      <c r="F244" s="163"/>
      <c r="G244" s="163"/>
      <c r="H244" s="163"/>
      <c r="I244" s="163"/>
      <c r="J244" s="163" t="e">
        <f>0.33*SALES!#REF!</f>
        <v>#REF!</v>
      </c>
      <c r="K244" s="163" t="e">
        <f>0.27*SALES!#REF!</f>
        <v>#REF!</v>
      </c>
      <c r="L244" s="163"/>
      <c r="M244" s="163"/>
      <c r="N244" s="163"/>
      <c r="O244" s="163" t="e">
        <f t="shared" si="25"/>
        <v>#REF!</v>
      </c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</row>
    <row r="245" spans="2:25">
      <c r="B245" t="s">
        <v>457</v>
      </c>
      <c r="C245" s="163"/>
      <c r="D245" s="163"/>
      <c r="E245" s="163"/>
      <c r="F245" s="163"/>
      <c r="G245" s="163"/>
      <c r="H245" s="163"/>
      <c r="I245" s="163"/>
      <c r="J245" s="163"/>
      <c r="K245" s="163" t="e">
        <f>0.33*SALES!#REF!</f>
        <v>#REF!</v>
      </c>
      <c r="L245" s="163" t="e">
        <f>0.27*SALES!#REF!</f>
        <v>#REF!</v>
      </c>
      <c r="M245" s="163"/>
      <c r="N245" s="163"/>
      <c r="O245" s="163" t="e">
        <f t="shared" si="25"/>
        <v>#REF!</v>
      </c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</row>
    <row r="246" spans="2:25">
      <c r="B246" t="s">
        <v>458</v>
      </c>
      <c r="C246" s="163"/>
      <c r="D246" s="163"/>
      <c r="E246" s="163"/>
      <c r="F246" s="163"/>
      <c r="G246" s="163"/>
      <c r="H246" s="163"/>
      <c r="I246" s="163"/>
      <c r="J246" s="163"/>
      <c r="K246" s="163"/>
      <c r="L246" s="163" t="e">
        <f>0.33*SALES!#REF!</f>
        <v>#REF!</v>
      </c>
      <c r="M246" s="163" t="e">
        <f>0.27*SALES!#REF!</f>
        <v>#REF!</v>
      </c>
      <c r="N246" s="163"/>
      <c r="O246" s="163" t="e">
        <f t="shared" si="25"/>
        <v>#REF!</v>
      </c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</row>
    <row r="247" spans="2:25">
      <c r="B247" t="s">
        <v>459</v>
      </c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163" t="e">
        <f>0.33*SALES!#REF!</f>
        <v>#REF!</v>
      </c>
      <c r="N247" s="163" t="e">
        <f>0.27*SALES!#REF!</f>
        <v>#REF!</v>
      </c>
      <c r="O247" s="163" t="e">
        <f t="shared" si="25"/>
        <v>#REF!</v>
      </c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</row>
    <row r="248" spans="2:25">
      <c r="B248" t="s">
        <v>460</v>
      </c>
      <c r="C248" s="163"/>
      <c r="D248" s="163"/>
      <c r="E248" s="163"/>
      <c r="F248" s="163"/>
      <c r="G248" s="163"/>
      <c r="H248" s="163"/>
      <c r="I248" s="163"/>
      <c r="J248" s="163"/>
      <c r="K248" s="163"/>
      <c r="L248" s="163"/>
      <c r="M248" s="163"/>
      <c r="N248" s="163" t="e">
        <f>0.33*SALES!#REF!</f>
        <v>#REF!</v>
      </c>
      <c r="O248" s="163" t="e">
        <f t="shared" si="25"/>
        <v>#REF!</v>
      </c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</row>
    <row r="249" spans="2:25">
      <c r="B249" t="s">
        <v>461</v>
      </c>
      <c r="C249" s="163"/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</row>
    <row r="250" spans="2:25" s="280" customFormat="1" ht="13.5" thickBot="1">
      <c r="B250" s="280" t="s">
        <v>535</v>
      </c>
      <c r="C250" s="300">
        <f>SUM(C237:C249)</f>
        <v>0</v>
      </c>
      <c r="D250" s="300" t="e">
        <f t="shared" ref="D250:O250" si="26">SUM(D237:D249)</f>
        <v>#REF!</v>
      </c>
      <c r="E250" s="300" t="e">
        <f t="shared" si="26"/>
        <v>#REF!</v>
      </c>
      <c r="F250" s="300" t="e">
        <f t="shared" si="26"/>
        <v>#REF!</v>
      </c>
      <c r="G250" s="300" t="e">
        <f t="shared" si="26"/>
        <v>#REF!</v>
      </c>
      <c r="H250" s="300" t="e">
        <f t="shared" si="26"/>
        <v>#REF!</v>
      </c>
      <c r="I250" s="300" t="e">
        <f t="shared" si="26"/>
        <v>#REF!</v>
      </c>
      <c r="J250" s="300" t="e">
        <f t="shared" si="26"/>
        <v>#REF!</v>
      </c>
      <c r="K250" s="300" t="e">
        <f t="shared" si="26"/>
        <v>#REF!</v>
      </c>
      <c r="L250" s="300" t="e">
        <f t="shared" si="26"/>
        <v>#REF!</v>
      </c>
      <c r="M250" s="300" t="e">
        <f t="shared" si="26"/>
        <v>#REF!</v>
      </c>
      <c r="N250" s="300" t="e">
        <f t="shared" si="26"/>
        <v>#REF!</v>
      </c>
      <c r="O250" s="300" t="e">
        <f t="shared" si="26"/>
        <v>#REF!</v>
      </c>
      <c r="P250" s="300" t="e">
        <f>SUM(C250:N250)</f>
        <v>#REF!</v>
      </c>
      <c r="Q250" s="300"/>
      <c r="R250" s="300"/>
      <c r="S250" s="300"/>
      <c r="T250" s="300"/>
      <c r="U250" s="300"/>
      <c r="V250" s="300"/>
      <c r="W250" s="300"/>
      <c r="X250" s="300"/>
      <c r="Y250" s="300"/>
    </row>
    <row r="251" spans="2:25" ht="13.5" thickTop="1">
      <c r="C251" s="163"/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</row>
    <row r="252" spans="2:25">
      <c r="B252" s="295" t="s">
        <v>530</v>
      </c>
      <c r="C252" s="163"/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</row>
    <row r="253" spans="2:25">
      <c r="B253" t="s">
        <v>531</v>
      </c>
      <c r="C253" s="163"/>
      <c r="D253" s="298" t="e">
        <f>C208</f>
        <v>#REF!</v>
      </c>
      <c r="E253" s="298" t="e">
        <f t="shared" ref="E253:N253" si="27">D208</f>
        <v>#REF!</v>
      </c>
      <c r="F253" s="298" t="e">
        <f t="shared" si="27"/>
        <v>#REF!</v>
      </c>
      <c r="G253" s="298" t="e">
        <f t="shared" si="27"/>
        <v>#REF!</v>
      </c>
      <c r="H253" s="298" t="e">
        <f t="shared" si="27"/>
        <v>#REF!</v>
      </c>
      <c r="I253" s="298" t="e">
        <f t="shared" si="27"/>
        <v>#REF!</v>
      </c>
      <c r="J253" s="298" t="e">
        <f t="shared" si="27"/>
        <v>#REF!</v>
      </c>
      <c r="K253" s="298" t="e">
        <f t="shared" si="27"/>
        <v>#REF!</v>
      </c>
      <c r="L253" s="298" t="e">
        <f t="shared" si="27"/>
        <v>#REF!</v>
      </c>
      <c r="M253" s="298" t="e">
        <f t="shared" si="27"/>
        <v>#REF!</v>
      </c>
      <c r="N253" s="298" t="e">
        <f t="shared" si="27"/>
        <v>#REF!</v>
      </c>
      <c r="O253" s="298" t="e">
        <f>SUM(C253:N253)</f>
        <v>#REF!</v>
      </c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</row>
    <row r="254" spans="2:25">
      <c r="B254" t="s">
        <v>532</v>
      </c>
      <c r="C254" s="163"/>
      <c r="D254" s="163"/>
      <c r="E254" s="163" t="e">
        <f>C208</f>
        <v>#REF!</v>
      </c>
      <c r="F254" s="163" t="e">
        <f t="shared" ref="F254:N254" si="28">D208</f>
        <v>#REF!</v>
      </c>
      <c r="G254" s="163" t="e">
        <f t="shared" si="28"/>
        <v>#REF!</v>
      </c>
      <c r="H254" s="163" t="e">
        <f t="shared" si="28"/>
        <v>#REF!</v>
      </c>
      <c r="I254" s="163" t="e">
        <f t="shared" si="28"/>
        <v>#REF!</v>
      </c>
      <c r="J254" s="163" t="e">
        <f t="shared" si="28"/>
        <v>#REF!</v>
      </c>
      <c r="K254" s="163" t="e">
        <f t="shared" si="28"/>
        <v>#REF!</v>
      </c>
      <c r="L254" s="163" t="e">
        <f t="shared" si="28"/>
        <v>#REF!</v>
      </c>
      <c r="M254" s="163" t="e">
        <f t="shared" si="28"/>
        <v>#REF!</v>
      </c>
      <c r="N254" s="163" t="e">
        <f t="shared" si="28"/>
        <v>#REF!</v>
      </c>
      <c r="O254" s="298" t="e">
        <f>SUM(C254:N254)</f>
        <v>#REF!</v>
      </c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</row>
    <row r="255" spans="2:25">
      <c r="B255" t="s">
        <v>533</v>
      </c>
      <c r="C255" s="163"/>
      <c r="D255" s="163"/>
      <c r="E255" s="163"/>
      <c r="F255" s="163" t="e">
        <f>C208</f>
        <v>#REF!</v>
      </c>
      <c r="G255" s="163" t="e">
        <f t="shared" ref="G255:N255" si="29">D208</f>
        <v>#REF!</v>
      </c>
      <c r="H255" s="163" t="e">
        <f t="shared" si="29"/>
        <v>#REF!</v>
      </c>
      <c r="I255" s="163" t="e">
        <f t="shared" si="29"/>
        <v>#REF!</v>
      </c>
      <c r="J255" s="163" t="e">
        <f t="shared" si="29"/>
        <v>#REF!</v>
      </c>
      <c r="K255" s="163" t="e">
        <f t="shared" si="29"/>
        <v>#REF!</v>
      </c>
      <c r="L255" s="163" t="e">
        <f t="shared" si="29"/>
        <v>#REF!</v>
      </c>
      <c r="M255" s="163" t="e">
        <f t="shared" si="29"/>
        <v>#REF!</v>
      </c>
      <c r="N255" s="163" t="e">
        <f t="shared" si="29"/>
        <v>#REF!</v>
      </c>
      <c r="O255" s="298" t="e">
        <f>SUM(C255:N255)</f>
        <v>#REF!</v>
      </c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</row>
    <row r="256" spans="2:25">
      <c r="B256" t="s">
        <v>534</v>
      </c>
      <c r="C256" s="163"/>
      <c r="D256" s="163"/>
      <c r="E256" s="163"/>
      <c r="F256" s="163"/>
      <c r="G256" s="163" t="e">
        <f>C208</f>
        <v>#REF!</v>
      </c>
      <c r="H256" s="163" t="e">
        <f t="shared" ref="H256:N256" si="30">D208</f>
        <v>#REF!</v>
      </c>
      <c r="I256" s="163" t="e">
        <f t="shared" si="30"/>
        <v>#REF!</v>
      </c>
      <c r="J256" s="163" t="e">
        <f t="shared" si="30"/>
        <v>#REF!</v>
      </c>
      <c r="K256" s="163" t="e">
        <f t="shared" si="30"/>
        <v>#REF!</v>
      </c>
      <c r="L256" s="163" t="e">
        <f t="shared" si="30"/>
        <v>#REF!</v>
      </c>
      <c r="M256" s="163" t="e">
        <f t="shared" si="30"/>
        <v>#REF!</v>
      </c>
      <c r="N256" s="163" t="e">
        <f t="shared" si="30"/>
        <v>#REF!</v>
      </c>
      <c r="O256" s="298" t="e">
        <f>SUM(C256:N256)</f>
        <v>#REF!</v>
      </c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</row>
    <row r="257" spans="2:25">
      <c r="C257" s="163"/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</row>
    <row r="258" spans="2:25" s="280" customFormat="1" ht="13.5" thickBot="1">
      <c r="B258" s="280" t="s">
        <v>535</v>
      </c>
      <c r="C258" s="300">
        <f>SUM(C253:C257)</f>
        <v>0</v>
      </c>
      <c r="D258" s="300" t="e">
        <f t="shared" ref="D258:N258" si="31">SUM(D253:D257)</f>
        <v>#REF!</v>
      </c>
      <c r="E258" s="300" t="e">
        <f t="shared" si="31"/>
        <v>#REF!</v>
      </c>
      <c r="F258" s="300" t="e">
        <f t="shared" si="31"/>
        <v>#REF!</v>
      </c>
      <c r="G258" s="300" t="e">
        <f t="shared" si="31"/>
        <v>#REF!</v>
      </c>
      <c r="H258" s="300" t="e">
        <f t="shared" si="31"/>
        <v>#REF!</v>
      </c>
      <c r="I258" s="300" t="e">
        <f t="shared" si="31"/>
        <v>#REF!</v>
      </c>
      <c r="J258" s="300" t="e">
        <f t="shared" si="31"/>
        <v>#REF!</v>
      </c>
      <c r="K258" s="300" t="e">
        <f t="shared" si="31"/>
        <v>#REF!</v>
      </c>
      <c r="L258" s="300" t="e">
        <f t="shared" si="31"/>
        <v>#REF!</v>
      </c>
      <c r="M258" s="300" t="e">
        <f t="shared" si="31"/>
        <v>#REF!</v>
      </c>
      <c r="N258" s="300" t="e">
        <f t="shared" si="31"/>
        <v>#REF!</v>
      </c>
      <c r="O258" s="300" t="e">
        <f>SUM(O253:O257)</f>
        <v>#REF!</v>
      </c>
      <c r="P258" s="300" t="e">
        <f>SUM(C258:N258)</f>
        <v>#REF!</v>
      </c>
      <c r="Q258" s="300"/>
      <c r="R258" s="300"/>
      <c r="S258" s="300"/>
      <c r="T258" s="300"/>
      <c r="U258" s="300"/>
      <c r="V258" s="300"/>
      <c r="W258" s="300"/>
      <c r="X258" s="300"/>
      <c r="Y258" s="300"/>
    </row>
    <row r="259" spans="2:25" ht="13.5" thickTop="1"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</row>
    <row r="260" spans="2:25">
      <c r="C260" s="163"/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</row>
    <row r="261" spans="2:25">
      <c r="B261" t="s">
        <v>125</v>
      </c>
      <c r="C261" s="163">
        <f>C229+C234+C250+C258</f>
        <v>0</v>
      </c>
      <c r="D261" s="163" t="e">
        <f t="shared" ref="D261:O261" si="32">D229+D234+D250+D258</f>
        <v>#REF!</v>
      </c>
      <c r="E261" s="163" t="e">
        <f t="shared" si="32"/>
        <v>#REF!</v>
      </c>
      <c r="F261" s="163" t="e">
        <f t="shared" si="32"/>
        <v>#REF!</v>
      </c>
      <c r="G261" s="163" t="e">
        <f t="shared" si="32"/>
        <v>#REF!</v>
      </c>
      <c r="H261" s="163" t="e">
        <f t="shared" si="32"/>
        <v>#REF!</v>
      </c>
      <c r="I261" s="163" t="e">
        <f t="shared" si="32"/>
        <v>#REF!</v>
      </c>
      <c r="J261" s="163" t="e">
        <f t="shared" si="32"/>
        <v>#REF!</v>
      </c>
      <c r="K261" s="163" t="e">
        <f t="shared" si="32"/>
        <v>#REF!</v>
      </c>
      <c r="L261" s="163" t="e">
        <f t="shared" si="32"/>
        <v>#REF!</v>
      </c>
      <c r="M261" s="163" t="e">
        <f t="shared" si="32"/>
        <v>#REF!</v>
      </c>
      <c r="N261" s="163" t="e">
        <f t="shared" si="32"/>
        <v>#REF!</v>
      </c>
      <c r="O261" s="163" t="e">
        <f t="shared" si="32"/>
        <v>#REF!</v>
      </c>
      <c r="P261" s="163" t="e">
        <f>SUM(C261:N261)</f>
        <v>#REF!</v>
      </c>
      <c r="Q261" s="163" t="e">
        <f>SUM(P215:P259)</f>
        <v>#REF!</v>
      </c>
      <c r="R261" s="163"/>
      <c r="S261" s="163"/>
      <c r="T261" s="163"/>
      <c r="U261" s="163"/>
      <c r="V261" s="163"/>
      <c r="W261" s="163"/>
      <c r="X261" s="163"/>
      <c r="Y261" s="163"/>
    </row>
    <row r="262" spans="2:25">
      <c r="C262" s="163"/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</row>
    <row r="263" spans="2:25">
      <c r="C263" s="163"/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</row>
    <row r="264" spans="2:25">
      <c r="C264" s="163"/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</row>
    <row r="265" spans="2:25">
      <c r="C265" s="163"/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</row>
    <row r="266" spans="2:25">
      <c r="C266" s="163"/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</row>
    <row r="267" spans="2:25">
      <c r="C267" s="163"/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</row>
    <row r="268" spans="2:25"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</row>
    <row r="269" spans="2:25"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</row>
    <row r="270" spans="2:25"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</row>
    <row r="271" spans="2:25">
      <c r="C271" s="163"/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</row>
    <row r="272" spans="2:25">
      <c r="C272" s="163"/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</row>
    <row r="273" spans="3:25">
      <c r="C273" s="163"/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</row>
    <row r="274" spans="3:25"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</row>
    <row r="275" spans="3:25">
      <c r="C275" s="163"/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</row>
    <row r="276" spans="3:25"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</row>
    <row r="277" spans="3:25"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</row>
    <row r="278" spans="3:25">
      <c r="C278" s="163"/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</row>
    <row r="279" spans="3:25">
      <c r="C279" s="163"/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</row>
    <row r="280" spans="3:25"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</row>
    <row r="281" spans="3:25">
      <c r="C281" s="163"/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</row>
    <row r="282" spans="3:25">
      <c r="C282" s="163"/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</row>
    <row r="283" spans="3:25">
      <c r="C283" s="163"/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</row>
    <row r="284" spans="3:25">
      <c r="C284" s="163"/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</row>
    <row r="285" spans="3:25">
      <c r="C285" s="163"/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</row>
    <row r="286" spans="3:25"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</row>
    <row r="287" spans="3:25"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</row>
    <row r="288" spans="3:25">
      <c r="C288" s="163"/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</row>
    <row r="289" spans="3:25">
      <c r="C289" s="163"/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</row>
    <row r="290" spans="3:25"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</row>
    <row r="291" spans="3:25"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</row>
    <row r="292" spans="3:25"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</row>
    <row r="293" spans="3:25">
      <c r="C293" s="163"/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</row>
    <row r="294" spans="3:25">
      <c r="C294" s="163"/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</row>
    <row r="295" spans="3:25">
      <c r="C295" s="163"/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</row>
    <row r="296" spans="3:25">
      <c r="C296" s="163"/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</row>
    <row r="297" spans="3:25">
      <c r="C297" s="163"/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</row>
    <row r="298" spans="3:25">
      <c r="C298" s="163"/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</row>
    <row r="299" spans="3:25">
      <c r="C299" s="163"/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</row>
    <row r="300" spans="3:25">
      <c r="C300" s="163"/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</row>
    <row r="301" spans="3:25">
      <c r="C301" s="163"/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</row>
    <row r="302" spans="3:25">
      <c r="C302" s="163"/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</row>
    <row r="303" spans="3:25">
      <c r="C303" s="163"/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</row>
    <row r="304" spans="3:25">
      <c r="C304" s="163"/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</row>
    <row r="305" spans="3:25"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</row>
    <row r="306" spans="3:25">
      <c r="C306" s="163"/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</row>
    <row r="307" spans="3:25">
      <c r="C307" s="163"/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</row>
    <row r="308" spans="3:25">
      <c r="C308" s="163"/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</row>
    <row r="309" spans="3:25">
      <c r="C309" s="163"/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</row>
    <row r="310" spans="3:25">
      <c r="C310" s="163"/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</row>
    <row r="311" spans="3:25">
      <c r="C311" s="163"/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</row>
    <row r="312" spans="3:25">
      <c r="C312" s="163"/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</row>
    <row r="313" spans="3:25">
      <c r="C313" s="163"/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</row>
    <row r="314" spans="3:25">
      <c r="C314" s="163"/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</row>
    <row r="315" spans="3:25"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</row>
    <row r="316" spans="3:25">
      <c r="C316" s="163"/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</row>
    <row r="317" spans="3:25">
      <c r="C317" s="163"/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</row>
    <row r="318" spans="3:25">
      <c r="C318" s="163"/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</row>
    <row r="319" spans="3:25">
      <c r="C319" s="163"/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</row>
    <row r="320" spans="3:25">
      <c r="C320" s="163"/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</row>
    <row r="321" spans="3:25">
      <c r="C321" s="163"/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</row>
    <row r="322" spans="3:25"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</row>
    <row r="323" spans="3:25">
      <c r="C323" s="163"/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</row>
    <row r="324" spans="3:25">
      <c r="C324" s="163"/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</row>
    <row r="325" spans="3:25">
      <c r="C325" s="163"/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</row>
    <row r="326" spans="3:25">
      <c r="C326" s="163"/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</row>
    <row r="327" spans="3:25">
      <c r="C327" s="163"/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</row>
    <row r="328" spans="3:25">
      <c r="C328" s="163"/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</row>
    <row r="329" spans="3:25">
      <c r="C329" s="163"/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</row>
    <row r="330" spans="3:25">
      <c r="C330" s="163"/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</row>
    <row r="331" spans="3:25">
      <c r="C331" s="163"/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</row>
    <row r="332" spans="3:25">
      <c r="C332" s="163"/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</row>
    <row r="333" spans="3:25">
      <c r="C333" s="163"/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</row>
    <row r="334" spans="3:25">
      <c r="C334" s="163"/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</row>
    <row r="335" spans="3:25">
      <c r="C335" s="163"/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</row>
    <row r="336" spans="3:25"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</row>
    <row r="337" spans="3:25">
      <c r="C337" s="163"/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</row>
    <row r="338" spans="3:25">
      <c r="C338" s="163"/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</row>
    <row r="339" spans="3:25">
      <c r="C339" s="163"/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</row>
    <row r="340" spans="3:25"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</row>
    <row r="341" spans="3:25">
      <c r="C341" s="163"/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</row>
    <row r="342" spans="3:25">
      <c r="C342" s="163"/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</row>
    <row r="343" spans="3:25">
      <c r="C343" s="163"/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</row>
    <row r="344" spans="3:25">
      <c r="C344" s="163"/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</row>
    <row r="345" spans="3:25">
      <c r="C345" s="163"/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</row>
    <row r="346" spans="3:25">
      <c r="C346" s="163"/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</row>
    <row r="347" spans="3:25"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</row>
    <row r="348" spans="3:25">
      <c r="C348" s="163"/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</row>
    <row r="349" spans="3:25">
      <c r="C349" s="163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</row>
    <row r="350" spans="3:25">
      <c r="C350" s="163"/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</row>
    <row r="351" spans="3:25">
      <c r="C351" s="163"/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</row>
    <row r="352" spans="3:25">
      <c r="C352" s="163"/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</row>
    <row r="353" spans="3:25">
      <c r="C353" s="163"/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</row>
    <row r="354" spans="3:25">
      <c r="C354" s="163"/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</row>
    <row r="355" spans="3:25">
      <c r="C355" s="163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</row>
    <row r="356" spans="3:25">
      <c r="C356" s="163"/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</row>
    <row r="357" spans="3:25">
      <c r="C357" s="163"/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</row>
    <row r="358" spans="3:25"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</row>
    <row r="359" spans="3:25"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</row>
    <row r="360" spans="3:25"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</row>
    <row r="361" spans="3:25"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</row>
    <row r="362" spans="3:25"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</row>
    <row r="363" spans="3:25"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</row>
    <row r="364" spans="3:25"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</row>
    <row r="365" spans="3:25"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</row>
    <row r="366" spans="3:25"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</row>
    <row r="367" spans="3:25"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</row>
    <row r="368" spans="3:25"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</row>
    <row r="369" spans="3:25"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</row>
    <row r="370" spans="3:25"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</row>
    <row r="371" spans="3:25"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</row>
    <row r="372" spans="3:25"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</row>
    <row r="373" spans="3:25"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</row>
    <row r="374" spans="3:25"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</row>
    <row r="375" spans="3:25"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</row>
    <row r="376" spans="3:25"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</row>
    <row r="377" spans="3:25"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</row>
    <row r="378" spans="3:25"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</row>
    <row r="379" spans="3:25"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</row>
    <row r="380" spans="3:25"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</row>
    <row r="381" spans="3:25"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</row>
    <row r="382" spans="3:25"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</row>
    <row r="383" spans="3:25"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</row>
    <row r="384" spans="3:25"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</row>
    <row r="385" spans="3:25"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</row>
    <row r="386" spans="3:25"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</row>
    <row r="387" spans="3:25"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</row>
    <row r="388" spans="3:25"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</row>
    <row r="389" spans="3:25"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</row>
    <row r="390" spans="3:25"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</row>
    <row r="391" spans="3:25"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</row>
    <row r="392" spans="3:25"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</row>
    <row r="393" spans="3:25"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</row>
    <row r="394" spans="3:25"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</row>
    <row r="395" spans="3:25"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</row>
    <row r="396" spans="3:25"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</row>
    <row r="397" spans="3:25"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</row>
    <row r="398" spans="3:25"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</row>
    <row r="399" spans="3:25"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</row>
    <row r="400" spans="3:25"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</row>
    <row r="401" spans="3:25"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</row>
    <row r="402" spans="3:25"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</row>
    <row r="403" spans="3:25"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</row>
    <row r="404" spans="3:25"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</row>
    <row r="405" spans="3:25"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</row>
    <row r="406" spans="3:25"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</row>
    <row r="407" spans="3:25"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</row>
    <row r="408" spans="3:25"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</row>
    <row r="409" spans="3:25"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</row>
    <row r="410" spans="3:25"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</row>
    <row r="411" spans="3:25"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</row>
    <row r="412" spans="3:25"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</row>
    <row r="413" spans="3:25"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</row>
    <row r="414" spans="3:25"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</row>
    <row r="415" spans="3:25"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</row>
    <row r="416" spans="3:25"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</row>
    <row r="417" spans="3:25"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</row>
    <row r="418" spans="3:25"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</row>
    <row r="419" spans="3:25"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</row>
    <row r="420" spans="3:25"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</row>
    <row r="421" spans="3:25"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</row>
    <row r="422" spans="3:25"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</row>
    <row r="423" spans="3:25"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</row>
    <row r="424" spans="3:25"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</row>
    <row r="425" spans="3:25"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</row>
    <row r="426" spans="3:25"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</row>
    <row r="427" spans="3:25"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</row>
    <row r="428" spans="3:25"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</row>
    <row r="429" spans="3:25"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</row>
    <row r="430" spans="3:25"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</row>
    <row r="431" spans="3:25"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</row>
    <row r="432" spans="3:25"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</row>
    <row r="433" spans="3:25"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</row>
    <row r="434" spans="3:25"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</row>
    <row r="435" spans="3:25"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</row>
    <row r="436" spans="3:25"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</row>
    <row r="437" spans="3:25"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</row>
    <row r="438" spans="3:25"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</row>
    <row r="439" spans="3:25"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</row>
    <row r="440" spans="3:25"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</row>
    <row r="441" spans="3:25"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</row>
    <row r="442" spans="3:25"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</row>
    <row r="443" spans="3:25"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</row>
    <row r="444" spans="3:25"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</row>
    <row r="445" spans="3:25"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</row>
    <row r="446" spans="3:25"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</row>
    <row r="447" spans="3:25"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</row>
    <row r="448" spans="3:25"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</row>
    <row r="449" spans="3:25"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</row>
    <row r="450" spans="3:25"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</row>
    <row r="451" spans="3:25"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</row>
    <row r="452" spans="3:25"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</row>
    <row r="453" spans="3:25"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</row>
    <row r="454" spans="3:25"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</row>
    <row r="455" spans="3:25"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</row>
    <row r="456" spans="3:25"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</row>
    <row r="457" spans="3:25"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</row>
    <row r="458" spans="3:25"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</row>
    <row r="459" spans="3:25"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</row>
    <row r="460" spans="3:25"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</row>
    <row r="461" spans="3:25"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</row>
    <row r="462" spans="3:25"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</row>
    <row r="463" spans="3:25"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</row>
    <row r="464" spans="3:25"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</row>
    <row r="465" spans="3:25"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</row>
    <row r="466" spans="3:25"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</row>
    <row r="467" spans="3:25"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</row>
    <row r="468" spans="3:25"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</row>
    <row r="469" spans="3:25"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</row>
    <row r="470" spans="3:25"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</row>
    <row r="471" spans="3:25"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</row>
    <row r="472" spans="3:25"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</row>
    <row r="473" spans="3:25"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</row>
    <row r="474" spans="3:25"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</row>
    <row r="475" spans="3:25">
      <c r="C475" s="163"/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</row>
    <row r="476" spans="3:25">
      <c r="C476" s="163"/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</row>
    <row r="477" spans="3:25">
      <c r="C477" s="163"/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</row>
    <row r="478" spans="3:25">
      <c r="C478" s="163"/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</row>
    <row r="479" spans="3:25"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</row>
    <row r="480" spans="3:25">
      <c r="C480" s="163"/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</row>
    <row r="481" spans="3:25">
      <c r="C481" s="163"/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</row>
    <row r="482" spans="3:25">
      <c r="C482" s="163"/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</row>
    <row r="483" spans="3:25">
      <c r="C483" s="163"/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</row>
    <row r="484" spans="3:25"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</row>
    <row r="485" spans="3:25"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</row>
    <row r="486" spans="3:25">
      <c r="C486" s="163"/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</row>
    <row r="487" spans="3:25"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</row>
    <row r="488" spans="3:25"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</row>
    <row r="489" spans="3:25"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</row>
    <row r="490" spans="3:25"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</row>
    <row r="491" spans="3:25"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</row>
    <row r="492" spans="3:25"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</row>
    <row r="493" spans="3:25"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</row>
    <row r="494" spans="3:25"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</row>
    <row r="495" spans="3:25"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</row>
    <row r="496" spans="3:25">
      <c r="C496" s="163"/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</row>
    <row r="497" spans="3:25">
      <c r="C497" s="163"/>
      <c r="D497" s="163"/>
      <c r="E497" s="163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</row>
    <row r="498" spans="3:25">
      <c r="C498" s="163"/>
      <c r="D498" s="163"/>
      <c r="E498" s="163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</row>
    <row r="499" spans="3:25"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</row>
    <row r="500" spans="3:25"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</row>
    <row r="501" spans="3:25"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</row>
    <row r="502" spans="3:25"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</row>
    <row r="503" spans="3:25"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</row>
    <row r="504" spans="3:25"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</row>
    <row r="505" spans="3:25"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</row>
    <row r="506" spans="3:25"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</row>
    <row r="507" spans="3:25"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  <c r="T507" s="163"/>
      <c r="U507" s="163"/>
      <c r="V507" s="163"/>
      <c r="W507" s="163"/>
      <c r="X507" s="163"/>
      <c r="Y507" s="163"/>
    </row>
    <row r="508" spans="3:25">
      <c r="C508" s="163"/>
      <c r="D508" s="163"/>
      <c r="E508" s="163"/>
      <c r="F508" s="163"/>
      <c r="G508" s="163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  <c r="T508" s="163"/>
      <c r="U508" s="163"/>
      <c r="V508" s="163"/>
      <c r="W508" s="163"/>
      <c r="X508" s="163"/>
      <c r="Y508" s="163"/>
    </row>
    <row r="509" spans="3:25">
      <c r="C509" s="163"/>
      <c r="D509" s="163"/>
      <c r="E509" s="163"/>
      <c r="F509" s="163"/>
      <c r="G509" s="163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  <c r="T509" s="163"/>
      <c r="U509" s="163"/>
      <c r="V509" s="163"/>
      <c r="W509" s="163"/>
      <c r="X509" s="163"/>
      <c r="Y509" s="163"/>
    </row>
    <row r="510" spans="3:25">
      <c r="C510" s="163"/>
      <c r="D510" s="163"/>
      <c r="E510" s="163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</row>
    <row r="511" spans="3:25">
      <c r="C511" s="163"/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</row>
    <row r="512" spans="3:25">
      <c r="C512" s="163"/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</row>
    <row r="513" spans="3:25">
      <c r="C513" s="163"/>
      <c r="D513" s="163"/>
      <c r="E513" s="163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</row>
    <row r="514" spans="3:25">
      <c r="C514" s="163"/>
      <c r="D514" s="163"/>
      <c r="E514" s="163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</row>
    <row r="515" spans="3:25">
      <c r="C515" s="163"/>
      <c r="D515" s="163"/>
      <c r="E515" s="163"/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</row>
    <row r="516" spans="3:25">
      <c r="C516" s="163"/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</row>
    <row r="517" spans="3:25">
      <c r="C517" s="163"/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</row>
    <row r="518" spans="3:25">
      <c r="C518" s="163"/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</row>
    <row r="519" spans="3:25">
      <c r="C519" s="163"/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</row>
    <row r="520" spans="3:25">
      <c r="C520" s="163"/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</row>
  </sheetData>
  <phoneticPr fontId="0" type="noConversion"/>
  <pageMargins left="0.75" right="0.75" top="1" bottom="1" header="0.5" footer="0.5"/>
  <headerFooter alignWithMargins="0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4"/>
  <dimension ref="A1:Y52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9" sqref="F9"/>
    </sheetView>
  </sheetViews>
  <sheetFormatPr defaultRowHeight="12.75"/>
  <cols>
    <col min="1" max="1" width="12.7109375" customWidth="1"/>
    <col min="2" max="2" width="29.85546875" customWidth="1"/>
    <col min="3" max="3" width="10.42578125" customWidth="1"/>
    <col min="15" max="15" width="10.5703125" customWidth="1"/>
    <col min="16" max="16" width="11.140625" customWidth="1"/>
    <col min="17" max="17" width="9.7109375" customWidth="1"/>
  </cols>
  <sheetData>
    <row r="1" spans="1:16">
      <c r="A1" s="65" t="s">
        <v>41</v>
      </c>
      <c r="B1" s="65" t="s">
        <v>42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7"/>
      <c r="P1" s="67" t="s">
        <v>5</v>
      </c>
    </row>
    <row r="2" spans="1:16">
      <c r="A2" s="41"/>
      <c r="B2" s="65"/>
      <c r="C2" s="69">
        <v>36892</v>
      </c>
      <c r="D2" s="69">
        <v>36923</v>
      </c>
      <c r="E2" s="69">
        <v>36951</v>
      </c>
      <c r="F2" s="69">
        <v>36982</v>
      </c>
      <c r="G2" s="69">
        <v>37012</v>
      </c>
      <c r="H2" s="69">
        <v>37043</v>
      </c>
      <c r="I2" s="69">
        <v>37073</v>
      </c>
      <c r="J2" s="69">
        <v>37104</v>
      </c>
      <c r="K2" s="69">
        <v>37135</v>
      </c>
      <c r="L2" s="69">
        <v>37165</v>
      </c>
      <c r="M2" s="69">
        <v>37196</v>
      </c>
      <c r="N2" s="69">
        <v>37226</v>
      </c>
      <c r="O2" s="69" t="s">
        <v>5</v>
      </c>
      <c r="P2" s="67" t="s">
        <v>48</v>
      </c>
    </row>
    <row r="3" spans="1:16">
      <c r="A3" s="41"/>
      <c r="B3" s="65" t="s">
        <v>49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7"/>
      <c r="P3" s="72"/>
    </row>
    <row r="4" spans="1:16">
      <c r="A4" s="41"/>
      <c r="B4" s="6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7"/>
      <c r="P4" s="72"/>
    </row>
    <row r="5" spans="1:16">
      <c r="A5" s="41"/>
      <c r="B5" s="65" t="s">
        <v>11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/>
    </row>
    <row r="6" spans="1:16">
      <c r="A6" s="73" t="s">
        <v>50</v>
      </c>
      <c r="B6" s="11" t="s">
        <v>51</v>
      </c>
      <c r="C6" s="14">
        <f>'GEN. O.H'!F5</f>
        <v>98050</v>
      </c>
      <c r="D6" s="14">
        <f>'GEN. O.H'!G5</f>
        <v>98050</v>
      </c>
      <c r="E6" s="14">
        <f>'GEN. O.H'!H5</f>
        <v>98050</v>
      </c>
      <c r="F6" s="14">
        <f>'GEN. O.H'!I5</f>
        <v>98050</v>
      </c>
      <c r="G6" s="14">
        <f>'GEN. O.H'!J5</f>
        <v>98050</v>
      </c>
      <c r="H6" s="14">
        <f>'GEN. O.H'!K5</f>
        <v>98050</v>
      </c>
      <c r="I6" s="14">
        <f>'GEN. O.H'!L5</f>
        <v>98050</v>
      </c>
      <c r="J6" s="14">
        <f>'GEN. O.H'!M5</f>
        <v>98050</v>
      </c>
      <c r="K6" s="14">
        <f>'GEN. O.H'!N5</f>
        <v>110550</v>
      </c>
      <c r="L6" s="14">
        <f>'GEN. O.H'!O5</f>
        <v>110550</v>
      </c>
      <c r="M6" s="14">
        <f>'GEN. O.H'!P5</f>
        <v>110550</v>
      </c>
      <c r="N6" s="14">
        <f>'GEN. O.H'!Q5</f>
        <v>110550</v>
      </c>
      <c r="O6" s="43">
        <f>SUM(C6:N6)</f>
        <v>1226600</v>
      </c>
    </row>
    <row r="7" spans="1:16">
      <c r="A7" s="73" t="s">
        <v>50</v>
      </c>
      <c r="B7" s="79" t="s">
        <v>413</v>
      </c>
      <c r="C7" s="14">
        <f>'GEN. O.H'!F6</f>
        <v>29450</v>
      </c>
      <c r="D7" s="14">
        <f>'GEN. O.H'!G6</f>
        <v>29450</v>
      </c>
      <c r="E7" s="14">
        <f>'GEN. O.H'!H6</f>
        <v>29450</v>
      </c>
      <c r="F7" s="14">
        <f>'GEN. O.H'!I6</f>
        <v>29450</v>
      </c>
      <c r="G7" s="14">
        <f>'GEN. O.H'!J6</f>
        <v>29450</v>
      </c>
      <c r="H7" s="14">
        <f>'GEN. O.H'!K6</f>
        <v>29450</v>
      </c>
      <c r="I7" s="14">
        <f>'GEN. O.H'!L6</f>
        <v>29450</v>
      </c>
      <c r="J7" s="14">
        <f>'GEN. O.H'!M6</f>
        <v>29450</v>
      </c>
      <c r="K7" s="14">
        <f>'GEN. O.H'!N6</f>
        <v>29450</v>
      </c>
      <c r="L7" s="14">
        <f>'GEN. O.H'!O6</f>
        <v>29450</v>
      </c>
      <c r="M7" s="14">
        <f>'GEN. O.H'!P6</f>
        <v>29450</v>
      </c>
      <c r="N7" s="14">
        <f>'GEN. O.H'!Q6</f>
        <v>29450</v>
      </c>
      <c r="O7" s="43">
        <f t="shared" ref="O7:O16" si="0">SUM(C7:N7)</f>
        <v>353400</v>
      </c>
    </row>
    <row r="8" spans="1:16">
      <c r="A8" s="73" t="s">
        <v>50</v>
      </c>
      <c r="B8" s="80" t="s">
        <v>53</v>
      </c>
      <c r="C8" s="14">
        <f>'Staff Costs'!D191</f>
        <v>0</v>
      </c>
      <c r="D8" s="14">
        <f>'Staff Costs'!E191</f>
        <v>0</v>
      </c>
      <c r="E8" s="14">
        <f>'Staff Costs'!F191</f>
        <v>0</v>
      </c>
      <c r="F8" s="14">
        <f>'Staff Costs'!G191</f>
        <v>0</v>
      </c>
      <c r="G8" s="14">
        <f>'Staff Costs'!H191</f>
        <v>0</v>
      </c>
      <c r="H8" s="14">
        <f>'Staff Costs'!I191</f>
        <v>4000</v>
      </c>
      <c r="I8" s="14">
        <f>'Staff Costs'!J191</f>
        <v>32150</v>
      </c>
      <c r="J8" s="14">
        <f>'Staff Costs'!K191</f>
        <v>11100</v>
      </c>
      <c r="K8" s="14">
        <f>'Staff Costs'!L191</f>
        <v>0</v>
      </c>
      <c r="L8" s="14">
        <f>'Staff Costs'!M191</f>
        <v>0</v>
      </c>
      <c r="M8" s="14">
        <f>'Staff Costs'!N191</f>
        <v>18000</v>
      </c>
      <c r="N8" s="14">
        <f>'Staff Costs'!O191</f>
        <v>13750</v>
      </c>
      <c r="O8" s="43">
        <f t="shared" si="0"/>
        <v>79000</v>
      </c>
    </row>
    <row r="9" spans="1:16">
      <c r="A9" s="73" t="s">
        <v>50</v>
      </c>
      <c r="B9" t="s">
        <v>54</v>
      </c>
      <c r="C9" s="14">
        <f>'Staff Costs'!D228</f>
        <v>0</v>
      </c>
      <c r="D9" s="14">
        <f>'Staff Costs'!E228</f>
        <v>0</v>
      </c>
      <c r="E9" s="14">
        <f>'Staff Costs'!F228</f>
        <v>0</v>
      </c>
      <c r="F9" s="14">
        <f>'Staff Costs'!G228</f>
        <v>0</v>
      </c>
      <c r="G9" s="14">
        <f>'Staff Costs'!H228</f>
        <v>0</v>
      </c>
      <c r="H9" s="14">
        <f>'Staff Costs'!I228</f>
        <v>0</v>
      </c>
      <c r="I9" s="14">
        <f>'Staff Costs'!J228</f>
        <v>0</v>
      </c>
      <c r="J9" s="14">
        <f>'Staff Costs'!K228</f>
        <v>2500</v>
      </c>
      <c r="K9" s="14">
        <f>'Staff Costs'!L228</f>
        <v>0</v>
      </c>
      <c r="L9" s="14">
        <f>'Staff Costs'!M228</f>
        <v>0</v>
      </c>
      <c r="M9" s="14">
        <f>'Staff Costs'!N228</f>
        <v>0</v>
      </c>
      <c r="N9" s="14">
        <f>'Staff Costs'!O228</f>
        <v>5000</v>
      </c>
      <c r="O9" s="43">
        <f t="shared" si="0"/>
        <v>7500</v>
      </c>
    </row>
    <row r="10" spans="1:16">
      <c r="A10" s="73" t="s">
        <v>50</v>
      </c>
      <c r="B10" t="s">
        <v>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43">
        <f t="shared" si="0"/>
        <v>0</v>
      </c>
    </row>
    <row r="11" spans="1:16">
      <c r="A11" s="73" t="s">
        <v>50</v>
      </c>
      <c r="B11" t="s">
        <v>56</v>
      </c>
      <c r="C11" s="14">
        <f>'[2]B.S SCHEDULES'!B64</f>
        <v>0</v>
      </c>
      <c r="D11" s="14"/>
      <c r="E11" s="14"/>
      <c r="F11" s="14">
        <v>6475</v>
      </c>
      <c r="G11" s="14">
        <v>1890</v>
      </c>
      <c r="H11" s="14">
        <v>1895</v>
      </c>
      <c r="I11" s="14">
        <v>6475</v>
      </c>
      <c r="J11" s="14">
        <v>1895</v>
      </c>
      <c r="K11" s="14">
        <v>1895</v>
      </c>
      <c r="L11" s="14">
        <v>6475</v>
      </c>
      <c r="M11" s="14"/>
      <c r="N11" s="14"/>
      <c r="O11" s="43">
        <f t="shared" si="0"/>
        <v>27000</v>
      </c>
    </row>
    <row r="12" spans="1:16">
      <c r="A12" s="73" t="s">
        <v>50</v>
      </c>
      <c r="B12" t="s">
        <v>58</v>
      </c>
      <c r="C12" s="14">
        <v>500</v>
      </c>
      <c r="D12" s="14">
        <v>500</v>
      </c>
      <c r="E12" s="14">
        <v>500</v>
      </c>
      <c r="F12" s="14">
        <v>500</v>
      </c>
      <c r="G12" s="14">
        <v>500</v>
      </c>
      <c r="H12" s="14">
        <v>500</v>
      </c>
      <c r="I12" s="14">
        <v>500</v>
      </c>
      <c r="J12" s="14">
        <v>500</v>
      </c>
      <c r="K12" s="14">
        <v>500</v>
      </c>
      <c r="L12" s="14">
        <v>500</v>
      </c>
      <c r="M12" s="14">
        <v>500</v>
      </c>
      <c r="N12" s="14">
        <v>500</v>
      </c>
      <c r="O12" s="43">
        <f t="shared" si="0"/>
        <v>6000</v>
      </c>
    </row>
    <row r="13" spans="1:16">
      <c r="A13" s="73" t="s">
        <v>50</v>
      </c>
      <c r="B13" t="s">
        <v>59</v>
      </c>
      <c r="C13" s="14">
        <v>30000</v>
      </c>
      <c r="D13" s="14"/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43">
        <f t="shared" si="0"/>
        <v>30000</v>
      </c>
    </row>
    <row r="14" spans="1:16">
      <c r="A14" s="73" t="s">
        <v>50</v>
      </c>
      <c r="B14" s="21" t="s">
        <v>61</v>
      </c>
      <c r="C14" s="14">
        <f>'GEN. O.H'!F14</f>
        <v>3141.7045454545455</v>
      </c>
      <c r="D14" s="14">
        <f>'GEN. O.H'!G14</f>
        <v>3141.7045454545455</v>
      </c>
      <c r="E14" s="14">
        <f>'GEN. O.H'!H14</f>
        <v>3141.7045454545455</v>
      </c>
      <c r="F14" s="14">
        <f>'GEN. O.H'!I14</f>
        <v>3141.7045454545455</v>
      </c>
      <c r="G14" s="14">
        <f>'GEN. O.H'!J14</f>
        <v>3141.7045454545455</v>
      </c>
      <c r="H14" s="14">
        <f>'GEN. O.H'!K14</f>
        <v>3141.7045454545455</v>
      </c>
      <c r="I14" s="14">
        <f>'GEN. O.H'!L14</f>
        <v>3141.7045454545455</v>
      </c>
      <c r="J14" s="14">
        <f>'GEN. O.H'!M14</f>
        <v>3141.7045454545455</v>
      </c>
      <c r="K14" s="14">
        <f>'GEN. O.H'!N14</f>
        <v>3141.7045454545455</v>
      </c>
      <c r="L14" s="14">
        <f>'GEN. O.H'!O14</f>
        <v>3141.7045454545455</v>
      </c>
      <c r="M14" s="14">
        <f>'GEN. O.H'!P14</f>
        <v>3141.7045454545455</v>
      </c>
      <c r="N14" s="14">
        <f>'GEN. O.H'!Q14</f>
        <v>3141.7045454545455</v>
      </c>
      <c r="O14" s="43">
        <f t="shared" si="0"/>
        <v>37700.454545454537</v>
      </c>
    </row>
    <row r="15" spans="1:16">
      <c r="A15" s="73" t="s">
        <v>50</v>
      </c>
      <c r="B15" s="21" t="s">
        <v>62</v>
      </c>
      <c r="C15" s="14">
        <f>'GEN. O.H'!F15</f>
        <v>3001.145833333333</v>
      </c>
      <c r="D15" s="14">
        <f>'GEN. O.H'!G15</f>
        <v>3001.145833333333</v>
      </c>
      <c r="E15" s="14">
        <f>'GEN. O.H'!H15</f>
        <v>3001.145833333333</v>
      </c>
      <c r="F15" s="14">
        <f>'GEN. O.H'!I15</f>
        <v>3001.145833333333</v>
      </c>
      <c r="G15" s="14">
        <f>'GEN. O.H'!J15</f>
        <v>3001.145833333333</v>
      </c>
      <c r="H15" s="14">
        <f>'GEN. O.H'!K15</f>
        <v>3001.145833333333</v>
      </c>
      <c r="I15" s="14">
        <f>'GEN. O.H'!L15</f>
        <v>3001.145833333333</v>
      </c>
      <c r="J15" s="14">
        <f>'GEN. O.H'!M15</f>
        <v>3001.145833333333</v>
      </c>
      <c r="K15" s="14">
        <f>'GEN. O.H'!N15</f>
        <v>3001.145833333333</v>
      </c>
      <c r="L15" s="14">
        <f>'GEN. O.H'!O15</f>
        <v>3001.145833333333</v>
      </c>
      <c r="M15" s="14">
        <f>'GEN. O.H'!P15</f>
        <v>3001.145833333333</v>
      </c>
      <c r="N15" s="14">
        <f>'GEN. O.H'!Q15</f>
        <v>3001.145833333333</v>
      </c>
      <c r="O15" s="43">
        <f t="shared" si="0"/>
        <v>36013.749999999993</v>
      </c>
    </row>
    <row r="16" spans="1:16">
      <c r="A16" s="73" t="s">
        <v>50</v>
      </c>
      <c r="B16" s="21" t="s">
        <v>414</v>
      </c>
      <c r="C16" s="14"/>
      <c r="D16" s="14">
        <f>'GEN. O.H'!G16</f>
        <v>0</v>
      </c>
      <c r="E16" s="14">
        <f>'[2]GEN. O.H'!G16</f>
        <v>0</v>
      </c>
      <c r="F16" s="14">
        <f>'[2]GEN. O.H'!H16</f>
        <v>0</v>
      </c>
      <c r="G16" s="14">
        <f>'[2]GEN. O.H'!I16</f>
        <v>0</v>
      </c>
      <c r="H16" s="14">
        <f>'[2]GEN. O.H'!J16</f>
        <v>0</v>
      </c>
      <c r="I16" s="14">
        <f>'[2]GEN. O.H'!K16</f>
        <v>0</v>
      </c>
      <c r="J16" s="14">
        <f>'[2]GEN. O.H'!L16</f>
        <v>0</v>
      </c>
      <c r="K16" s="14">
        <f>'GEN. O.H'!N16</f>
        <v>0</v>
      </c>
      <c r="L16" s="14"/>
      <c r="M16" s="14">
        <f>'[2]GEN. O.H'!O16</f>
        <v>0</v>
      </c>
      <c r="N16" s="14">
        <f>'[2]GEN. O.H'!P16</f>
        <v>0</v>
      </c>
      <c r="O16" s="43">
        <f t="shared" si="0"/>
        <v>0</v>
      </c>
    </row>
    <row r="17" spans="1:16">
      <c r="A17" s="41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43"/>
    </row>
    <row r="18" spans="1:16">
      <c r="A18" s="41"/>
      <c r="B18" s="82" t="s">
        <v>63</v>
      </c>
      <c r="C18" s="51">
        <f t="shared" ref="C18:O18" si="1">SUM(C6:C17)</f>
        <v>164142.8503787879</v>
      </c>
      <c r="D18" s="51">
        <f t="shared" si="1"/>
        <v>134142.8503787879</v>
      </c>
      <c r="E18" s="51">
        <f t="shared" si="1"/>
        <v>134142.8503787879</v>
      </c>
      <c r="F18" s="51">
        <f t="shared" si="1"/>
        <v>140617.8503787879</v>
      </c>
      <c r="G18" s="51">
        <f t="shared" si="1"/>
        <v>136032.8503787879</v>
      </c>
      <c r="H18" s="51">
        <f t="shared" si="1"/>
        <v>140037.8503787879</v>
      </c>
      <c r="I18" s="51">
        <f t="shared" si="1"/>
        <v>172767.8503787879</v>
      </c>
      <c r="J18" s="51">
        <f t="shared" si="1"/>
        <v>149637.8503787879</v>
      </c>
      <c r="K18" s="51">
        <f t="shared" si="1"/>
        <v>148537.8503787879</v>
      </c>
      <c r="L18" s="51">
        <f t="shared" si="1"/>
        <v>153117.8503787879</v>
      </c>
      <c r="M18" s="51">
        <f t="shared" si="1"/>
        <v>164642.8503787879</v>
      </c>
      <c r="N18" s="51">
        <f t="shared" si="1"/>
        <v>165392.8503787879</v>
      </c>
      <c r="O18" s="87">
        <f t="shared" si="1"/>
        <v>1803214.2045454546</v>
      </c>
      <c r="P18" s="45">
        <f>SUM(C18:N18)</f>
        <v>1803214.2045454544</v>
      </c>
    </row>
    <row r="19" spans="1:16">
      <c r="A19" s="41"/>
      <c r="B19" s="1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43">
        <f>SUM(C19:I19)</f>
        <v>0</v>
      </c>
    </row>
    <row r="20" spans="1:16">
      <c r="A20" s="73"/>
      <c r="B20" s="65" t="s">
        <v>64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7"/>
    </row>
    <row r="21" spans="1:16">
      <c r="A21" s="29" t="s">
        <v>50</v>
      </c>
      <c r="B21" s="4" t="s">
        <v>65</v>
      </c>
      <c r="C21" s="14">
        <v>28379.4</v>
      </c>
      <c r="D21" s="14">
        <v>0</v>
      </c>
      <c r="E21" s="14">
        <v>0</v>
      </c>
      <c r="F21" s="14">
        <v>0</v>
      </c>
      <c r="G21" s="14">
        <v>0</v>
      </c>
      <c r="H21" s="14">
        <v>114256</v>
      </c>
      <c r="I21" s="14"/>
      <c r="J21" s="14"/>
      <c r="K21" s="14"/>
      <c r="L21" s="14">
        <v>114256</v>
      </c>
      <c r="M21" s="14"/>
      <c r="N21" s="14"/>
      <c r="O21" s="43">
        <f t="shared" ref="O21:O39" si="2">SUM(C21:N21)</f>
        <v>256891.4</v>
      </c>
    </row>
    <row r="22" spans="1:16">
      <c r="A22" s="29" t="s">
        <v>50</v>
      </c>
      <c r="B22" s="4" t="s">
        <v>66</v>
      </c>
      <c r="C22" s="14">
        <v>3000</v>
      </c>
      <c r="D22" s="14">
        <f>'[2]GEN. O.H'!F22</f>
        <v>0</v>
      </c>
      <c r="E22" s="14">
        <f>'[2]GEN. O.H'!G22</f>
        <v>0</v>
      </c>
      <c r="F22" s="14">
        <v>3000</v>
      </c>
      <c r="G22" s="14">
        <f>'[2]GEN. O.H'!I22</f>
        <v>0</v>
      </c>
      <c r="H22" s="14">
        <f>'[2]GEN. O.H'!J22</f>
        <v>0</v>
      </c>
      <c r="I22" s="14">
        <v>3000</v>
      </c>
      <c r="J22" s="14">
        <f>'[2]GEN. O.H'!L22</f>
        <v>0</v>
      </c>
      <c r="K22" s="14">
        <f>'[2]GEN. O.H'!M22</f>
        <v>0</v>
      </c>
      <c r="L22" s="14">
        <v>3000</v>
      </c>
      <c r="M22" s="14">
        <f>'[2]GEN. O.H'!O22</f>
        <v>0</v>
      </c>
      <c r="N22" s="14">
        <f>'[2]GEN. O.H'!P22</f>
        <v>0</v>
      </c>
      <c r="O22" s="43">
        <f t="shared" si="2"/>
        <v>12000</v>
      </c>
    </row>
    <row r="23" spans="1:16">
      <c r="A23" s="29" t="s">
        <v>50</v>
      </c>
      <c r="B23" s="4" t="s">
        <v>67</v>
      </c>
      <c r="C23" s="14">
        <v>7000</v>
      </c>
      <c r="D23" s="14">
        <v>7000</v>
      </c>
      <c r="E23" s="14">
        <v>7000</v>
      </c>
      <c r="F23" s="14">
        <v>7000</v>
      </c>
      <c r="G23" s="14">
        <v>7000</v>
      </c>
      <c r="H23" s="14">
        <v>7000</v>
      </c>
      <c r="I23" s="14">
        <v>7000</v>
      </c>
      <c r="J23" s="14">
        <v>7000</v>
      </c>
      <c r="K23" s="14">
        <v>7000</v>
      </c>
      <c r="L23" s="14">
        <v>7000</v>
      </c>
      <c r="M23" s="14">
        <v>7000</v>
      </c>
      <c r="N23" s="14">
        <v>7000</v>
      </c>
      <c r="O23" s="43">
        <f t="shared" si="2"/>
        <v>84000</v>
      </c>
    </row>
    <row r="24" spans="1:16">
      <c r="A24" s="29" t="s">
        <v>50</v>
      </c>
      <c r="B24" s="4" t="s">
        <v>68</v>
      </c>
      <c r="C24" s="14">
        <v>500</v>
      </c>
      <c r="D24" s="14">
        <v>500</v>
      </c>
      <c r="E24" s="14">
        <v>500</v>
      </c>
      <c r="F24" s="14">
        <v>500</v>
      </c>
      <c r="G24" s="14">
        <v>500</v>
      </c>
      <c r="H24" s="14">
        <v>500</v>
      </c>
      <c r="I24" s="14">
        <v>500</v>
      </c>
      <c r="J24" s="14">
        <v>500</v>
      </c>
      <c r="K24" s="14">
        <v>500</v>
      </c>
      <c r="L24" s="14">
        <v>500</v>
      </c>
      <c r="M24" s="14">
        <v>500</v>
      </c>
      <c r="N24" s="14">
        <v>500</v>
      </c>
      <c r="O24" s="43">
        <f t="shared" si="2"/>
        <v>6000</v>
      </c>
    </row>
    <row r="25" spans="1:16">
      <c r="A25" s="29" t="s">
        <v>50</v>
      </c>
      <c r="B25" s="4" t="s">
        <v>69</v>
      </c>
      <c r="C25" s="14">
        <v>150</v>
      </c>
      <c r="D25" s="14">
        <v>150</v>
      </c>
      <c r="E25" s="14">
        <v>150</v>
      </c>
      <c r="F25" s="14">
        <v>150</v>
      </c>
      <c r="G25" s="14">
        <v>150</v>
      </c>
      <c r="H25" s="14">
        <v>150</v>
      </c>
      <c r="I25" s="14">
        <v>150</v>
      </c>
      <c r="J25" s="14">
        <v>150</v>
      </c>
      <c r="K25" s="14">
        <v>150</v>
      </c>
      <c r="L25" s="14">
        <v>150</v>
      </c>
      <c r="M25" s="14">
        <v>150</v>
      </c>
      <c r="N25" s="14">
        <v>150</v>
      </c>
      <c r="O25" s="43">
        <f t="shared" si="2"/>
        <v>1800</v>
      </c>
    </row>
    <row r="26" spans="1:16">
      <c r="A26" s="29" t="s">
        <v>50</v>
      </c>
      <c r="B26" s="4" t="s">
        <v>70</v>
      </c>
      <c r="C26" s="14"/>
      <c r="D26" s="14">
        <v>400</v>
      </c>
      <c r="E26" s="14">
        <v>400</v>
      </c>
      <c r="F26" s="14">
        <v>400</v>
      </c>
      <c r="G26" s="14">
        <v>400</v>
      </c>
      <c r="H26" s="14">
        <v>400</v>
      </c>
      <c r="I26" s="14">
        <v>400</v>
      </c>
      <c r="J26" s="14">
        <v>400</v>
      </c>
      <c r="K26" s="14">
        <v>400</v>
      </c>
      <c r="L26" s="14">
        <v>400</v>
      </c>
      <c r="M26" s="14">
        <v>400</v>
      </c>
      <c r="N26" s="14">
        <v>400</v>
      </c>
      <c r="O26" s="43">
        <f t="shared" si="2"/>
        <v>4400</v>
      </c>
    </row>
    <row r="27" spans="1:16">
      <c r="A27" s="29" t="s">
        <v>50</v>
      </c>
      <c r="B27" s="4" t="s">
        <v>71</v>
      </c>
      <c r="C27" s="14"/>
      <c r="D27" s="14"/>
      <c r="E27" s="14">
        <v>13500</v>
      </c>
      <c r="F27" s="14">
        <v>4000</v>
      </c>
      <c r="G27" s="14">
        <v>4000</v>
      </c>
      <c r="H27" s="14">
        <v>4000</v>
      </c>
      <c r="I27" s="14">
        <v>4000</v>
      </c>
      <c r="J27" s="14">
        <v>4000</v>
      </c>
      <c r="K27" s="14">
        <v>4000</v>
      </c>
      <c r="L27" s="14">
        <v>4000</v>
      </c>
      <c r="M27" s="14">
        <v>4000</v>
      </c>
      <c r="N27" s="14">
        <v>4000</v>
      </c>
      <c r="O27" s="43">
        <f t="shared" si="2"/>
        <v>49500</v>
      </c>
    </row>
    <row r="28" spans="1:16">
      <c r="A28" s="29" t="s">
        <v>50</v>
      </c>
      <c r="B28" s="4" t="s">
        <v>72</v>
      </c>
      <c r="C28" s="14"/>
      <c r="D28" s="14">
        <v>1250</v>
      </c>
      <c r="E28" s="14">
        <v>1250</v>
      </c>
      <c r="F28" s="14">
        <v>1250</v>
      </c>
      <c r="G28" s="14">
        <v>1250</v>
      </c>
      <c r="H28" s="14">
        <v>1250</v>
      </c>
      <c r="I28" s="14">
        <v>1250</v>
      </c>
      <c r="J28" s="14">
        <v>1250</v>
      </c>
      <c r="K28" s="14">
        <v>1250</v>
      </c>
      <c r="L28" s="14">
        <v>1250</v>
      </c>
      <c r="M28" s="14">
        <v>1250</v>
      </c>
      <c r="N28" s="14">
        <v>1250</v>
      </c>
      <c r="O28" s="43">
        <f t="shared" si="2"/>
        <v>13750</v>
      </c>
    </row>
    <row r="29" spans="1:16">
      <c r="A29" s="29"/>
      <c r="B29" s="4" t="s">
        <v>73</v>
      </c>
      <c r="C29" s="14"/>
      <c r="D29" s="14">
        <f>'[2]GEN. O.H'!E29</f>
        <v>0</v>
      </c>
      <c r="E29" s="14">
        <f>'[2]GEN. O.H'!F29</f>
        <v>0</v>
      </c>
      <c r="F29" s="14">
        <f>'[2]GEN. O.H'!G29</f>
        <v>0</v>
      </c>
      <c r="G29" s="14">
        <f>'[2]GEN. O.H'!H29</f>
        <v>0</v>
      </c>
      <c r="H29" s="14">
        <f>'[2]GEN. O.H'!I29</f>
        <v>0</v>
      </c>
      <c r="I29" s="14">
        <f>'[2]GEN. O.H'!J29</f>
        <v>0</v>
      </c>
      <c r="J29" s="14">
        <f>'[2]GEN. O.H'!K29</f>
        <v>0</v>
      </c>
      <c r="K29" s="14">
        <f>'[2]GEN. O.H'!L29</f>
        <v>0</v>
      </c>
      <c r="L29" s="14">
        <f>'[2]GEN. O.H'!M29</f>
        <v>0</v>
      </c>
      <c r="M29" s="14">
        <f>'[2]GEN. O.H'!N29</f>
        <v>0</v>
      </c>
      <c r="N29" s="14">
        <f>'[2]GEN. O.H'!O29</f>
        <v>0</v>
      </c>
      <c r="O29" s="43">
        <f t="shared" si="2"/>
        <v>0</v>
      </c>
    </row>
    <row r="30" spans="1:16">
      <c r="A30" s="73" t="s">
        <v>50</v>
      </c>
      <c r="B30" t="s">
        <v>74</v>
      </c>
      <c r="C30" s="14">
        <v>1000</v>
      </c>
      <c r="D30" s="14">
        <v>1000</v>
      </c>
      <c r="E30" s="14">
        <v>1000</v>
      </c>
      <c r="F30" s="14">
        <v>1000</v>
      </c>
      <c r="G30" s="14">
        <v>1000</v>
      </c>
      <c r="H30" s="14">
        <v>1000</v>
      </c>
      <c r="I30" s="14">
        <v>1000</v>
      </c>
      <c r="J30" s="14">
        <v>1000</v>
      </c>
      <c r="K30" s="14">
        <v>1000</v>
      </c>
      <c r="L30" s="14">
        <v>1000</v>
      </c>
      <c r="M30" s="14">
        <v>1000</v>
      </c>
      <c r="N30" s="14">
        <v>1000</v>
      </c>
      <c r="O30" s="43">
        <f t="shared" si="2"/>
        <v>12000</v>
      </c>
    </row>
    <row r="31" spans="1:16">
      <c r="A31" s="265" t="s">
        <v>50</v>
      </c>
      <c r="B31" s="4" t="s">
        <v>75</v>
      </c>
      <c r="C31" s="14"/>
      <c r="D31" s="14"/>
      <c r="E31" s="14">
        <v>15000</v>
      </c>
      <c r="F31" s="14"/>
      <c r="G31" s="14">
        <v>6000</v>
      </c>
      <c r="H31" s="14"/>
      <c r="I31" s="14">
        <f>'[2]GEN. O.H'!K31</f>
        <v>0</v>
      </c>
      <c r="J31" s="14">
        <f>'[2]GEN. O.H'!L31</f>
        <v>0</v>
      </c>
      <c r="K31" s="14">
        <v>15000</v>
      </c>
      <c r="L31" s="14">
        <f>'[2]GEN. O.H'!N31</f>
        <v>0</v>
      </c>
      <c r="M31" s="14"/>
      <c r="N31" s="14">
        <f>'[2]GEN. O.H'!P31</f>
        <v>0</v>
      </c>
      <c r="O31" s="43">
        <f>SUM(C31:N31)</f>
        <v>36000</v>
      </c>
    </row>
    <row r="32" spans="1:16">
      <c r="A32" s="29" t="s">
        <v>50</v>
      </c>
      <c r="B32" s="4" t="s">
        <v>76</v>
      </c>
      <c r="C32" s="14">
        <v>1000</v>
      </c>
      <c r="D32" s="14">
        <v>1000</v>
      </c>
      <c r="E32" s="14">
        <v>1000</v>
      </c>
      <c r="F32" s="14">
        <v>1000</v>
      </c>
      <c r="G32" s="14">
        <v>1000</v>
      </c>
      <c r="H32" s="14">
        <v>1000</v>
      </c>
      <c r="I32" s="14">
        <v>1000</v>
      </c>
      <c r="J32" s="14">
        <v>1000</v>
      </c>
      <c r="K32" s="14">
        <v>1000</v>
      </c>
      <c r="L32" s="14">
        <v>1000</v>
      </c>
      <c r="M32" s="14">
        <v>1000</v>
      </c>
      <c r="N32" s="14">
        <v>1000</v>
      </c>
      <c r="O32" s="43">
        <f t="shared" si="2"/>
        <v>12000</v>
      </c>
    </row>
    <row r="33" spans="1:16">
      <c r="A33" s="29" t="s">
        <v>50</v>
      </c>
      <c r="B33" s="4" t="s">
        <v>77</v>
      </c>
      <c r="C33" s="14">
        <v>100</v>
      </c>
      <c r="D33" s="14">
        <v>100</v>
      </c>
      <c r="E33" s="14">
        <v>100</v>
      </c>
      <c r="F33" s="14">
        <v>100</v>
      </c>
      <c r="G33" s="14">
        <v>100</v>
      </c>
      <c r="H33" s="14">
        <v>100</v>
      </c>
      <c r="I33" s="14">
        <v>100</v>
      </c>
      <c r="J33" s="14">
        <v>100</v>
      </c>
      <c r="K33" s="14">
        <v>100</v>
      </c>
      <c r="L33" s="14">
        <v>100</v>
      </c>
      <c r="M33" s="14">
        <v>100</v>
      </c>
      <c r="N33" s="14">
        <v>100</v>
      </c>
      <c r="O33" s="43">
        <f t="shared" si="2"/>
        <v>1200</v>
      </c>
    </row>
    <row r="34" spans="1:16">
      <c r="A34" s="29" t="s">
        <v>50</v>
      </c>
      <c r="B34" s="4" t="s">
        <v>78</v>
      </c>
      <c r="C34" s="14">
        <v>100</v>
      </c>
      <c r="D34" s="14">
        <v>100</v>
      </c>
      <c r="E34" s="14">
        <v>100</v>
      </c>
      <c r="F34" s="14">
        <v>100</v>
      </c>
      <c r="G34" s="14">
        <v>100</v>
      </c>
      <c r="H34" s="14">
        <v>100</v>
      </c>
      <c r="I34" s="14">
        <v>100</v>
      </c>
      <c r="J34" s="14">
        <v>100</v>
      </c>
      <c r="K34" s="14">
        <v>100</v>
      </c>
      <c r="L34" s="14">
        <v>100</v>
      </c>
      <c r="M34" s="14">
        <v>100</v>
      </c>
      <c r="N34" s="14">
        <v>100</v>
      </c>
      <c r="O34" s="43">
        <f t="shared" si="2"/>
        <v>1200</v>
      </c>
    </row>
    <row r="35" spans="1:16">
      <c r="A35" s="29" t="s">
        <v>50</v>
      </c>
      <c r="B35" s="4" t="s">
        <v>79</v>
      </c>
      <c r="C35" s="14"/>
      <c r="D35" s="14"/>
      <c r="E35" s="14">
        <v>900</v>
      </c>
      <c r="F35" s="14">
        <f>'[2]GEN. O.H'!G35</f>
        <v>0</v>
      </c>
      <c r="G35" s="14"/>
      <c r="H35" s="14">
        <v>900</v>
      </c>
      <c r="I35" s="14">
        <f>'[2]GEN. O.H'!J35</f>
        <v>0</v>
      </c>
      <c r="J35" s="14"/>
      <c r="K35" s="14">
        <v>900</v>
      </c>
      <c r="L35" s="14">
        <f>'[2]GEN. O.H'!M35</f>
        <v>0</v>
      </c>
      <c r="M35" s="14"/>
      <c r="N35" s="14">
        <v>900</v>
      </c>
      <c r="O35" s="43">
        <f t="shared" si="2"/>
        <v>3600</v>
      </c>
    </row>
    <row r="36" spans="1:16">
      <c r="A36" s="29" t="s">
        <v>50</v>
      </c>
      <c r="B36" s="4" t="s">
        <v>80</v>
      </c>
      <c r="C36" s="14">
        <v>200</v>
      </c>
      <c r="D36" s="14">
        <v>200</v>
      </c>
      <c r="E36" s="14">
        <v>200</v>
      </c>
      <c r="F36" s="14">
        <v>200</v>
      </c>
      <c r="G36" s="14">
        <v>200</v>
      </c>
      <c r="H36" s="14">
        <v>200</v>
      </c>
      <c r="I36" s="14">
        <v>200</v>
      </c>
      <c r="J36" s="14">
        <v>200</v>
      </c>
      <c r="K36" s="14">
        <v>200</v>
      </c>
      <c r="L36" s="14">
        <v>200</v>
      </c>
      <c r="M36" s="14">
        <v>200</v>
      </c>
      <c r="N36" s="14">
        <v>200</v>
      </c>
      <c r="O36" s="43">
        <f t="shared" si="2"/>
        <v>2400</v>
      </c>
    </row>
    <row r="37" spans="1:16">
      <c r="A37" s="29" t="s">
        <v>50</v>
      </c>
      <c r="B37" s="4" t="s">
        <v>81</v>
      </c>
      <c r="C37" s="14"/>
      <c r="D37" s="14"/>
      <c r="E37" s="14">
        <f>5512.5+7350</f>
        <v>12862.5</v>
      </c>
      <c r="F37" s="14"/>
      <c r="G37" s="14"/>
      <c r="H37" s="14">
        <v>3675</v>
      </c>
      <c r="I37" s="14">
        <v>11025</v>
      </c>
      <c r="J37" s="14"/>
      <c r="K37" s="14"/>
      <c r="L37" s="14"/>
      <c r="M37" s="14"/>
      <c r="N37" s="14">
        <v>7350</v>
      </c>
      <c r="O37" s="43">
        <f t="shared" si="2"/>
        <v>34912.5</v>
      </c>
      <c r="P37" s="45"/>
    </row>
    <row r="38" spans="1:16">
      <c r="A38" s="29" t="s">
        <v>50</v>
      </c>
      <c r="B38" s="4" t="s">
        <v>82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43">
        <f t="shared" si="2"/>
        <v>0</v>
      </c>
      <c r="P38" s="45"/>
    </row>
    <row r="39" spans="1:16">
      <c r="A39" s="29"/>
      <c r="B39" s="4" t="s">
        <v>60</v>
      </c>
      <c r="C39" s="14"/>
      <c r="D39" s="14"/>
      <c r="E39" s="14"/>
      <c r="F39" s="14">
        <v>6000</v>
      </c>
      <c r="G39" s="14">
        <v>6000</v>
      </c>
      <c r="H39" s="14"/>
      <c r="I39" s="14"/>
      <c r="J39" s="14"/>
      <c r="K39" s="14"/>
      <c r="L39" s="14"/>
      <c r="M39" s="14"/>
      <c r="N39" s="14"/>
      <c r="O39" s="43">
        <f t="shared" si="2"/>
        <v>12000</v>
      </c>
      <c r="P39" s="45"/>
    </row>
    <row r="40" spans="1:16">
      <c r="A40" s="29"/>
      <c r="B40" s="82" t="s">
        <v>83</v>
      </c>
      <c r="C40" s="51">
        <f t="shared" ref="C40:O40" si="3">SUM(C21:C39)</f>
        <v>41429.4</v>
      </c>
      <c r="D40" s="51">
        <f t="shared" si="3"/>
        <v>11700</v>
      </c>
      <c r="E40" s="51">
        <f t="shared" si="3"/>
        <v>53962.5</v>
      </c>
      <c r="F40" s="51">
        <f t="shared" si="3"/>
        <v>24700</v>
      </c>
      <c r="G40" s="51">
        <f t="shared" si="3"/>
        <v>27700</v>
      </c>
      <c r="H40" s="51">
        <f t="shared" si="3"/>
        <v>134531</v>
      </c>
      <c r="I40" s="51">
        <f t="shared" si="3"/>
        <v>29725</v>
      </c>
      <c r="J40" s="51">
        <f t="shared" si="3"/>
        <v>15700</v>
      </c>
      <c r="K40" s="51">
        <f t="shared" si="3"/>
        <v>31600</v>
      </c>
      <c r="L40" s="51">
        <f t="shared" si="3"/>
        <v>132956</v>
      </c>
      <c r="M40" s="51">
        <f t="shared" si="3"/>
        <v>15700</v>
      </c>
      <c r="N40" s="51">
        <f t="shared" si="3"/>
        <v>23950</v>
      </c>
      <c r="O40" s="87">
        <f t="shared" si="3"/>
        <v>543653.9</v>
      </c>
      <c r="P40" s="45">
        <f>SUM(C40:N40)</f>
        <v>543653.9</v>
      </c>
    </row>
    <row r="41" spans="1:16">
      <c r="A41" s="29"/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53"/>
    </row>
    <row r="42" spans="1:16">
      <c r="A42" s="29"/>
      <c r="B42" s="47" t="s">
        <v>84</v>
      </c>
      <c r="C42" s="273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43"/>
      <c r="P42" s="14"/>
    </row>
    <row r="43" spans="1:16">
      <c r="A43" s="29" t="s">
        <v>50</v>
      </c>
      <c r="B43" s="4" t="s">
        <v>85</v>
      </c>
      <c r="C43" s="14">
        <v>500</v>
      </c>
      <c r="D43" s="14">
        <v>500</v>
      </c>
      <c r="E43" s="14">
        <v>500</v>
      </c>
      <c r="F43" s="14">
        <v>750</v>
      </c>
      <c r="G43" s="14">
        <v>750</v>
      </c>
      <c r="H43" s="14">
        <v>750</v>
      </c>
      <c r="I43" s="14">
        <v>750</v>
      </c>
      <c r="J43" s="14">
        <v>750</v>
      </c>
      <c r="K43" s="14">
        <v>750</v>
      </c>
      <c r="L43" s="14">
        <v>750</v>
      </c>
      <c r="M43" s="14">
        <v>750</v>
      </c>
      <c r="N43" s="14">
        <v>750</v>
      </c>
      <c r="O43" s="43">
        <f>SUM(C43:N43)</f>
        <v>8250</v>
      </c>
      <c r="P43" s="14"/>
    </row>
    <row r="44" spans="1:16">
      <c r="A44" s="29" t="s">
        <v>50</v>
      </c>
      <c r="B44" s="4" t="s">
        <v>86</v>
      </c>
      <c r="C44" s="14">
        <v>600</v>
      </c>
      <c r="D44" s="14">
        <v>600</v>
      </c>
      <c r="E44" s="14">
        <v>600</v>
      </c>
      <c r="F44" s="14">
        <v>800</v>
      </c>
      <c r="G44" s="14">
        <v>800</v>
      </c>
      <c r="H44" s="14">
        <v>800</v>
      </c>
      <c r="I44" s="14">
        <v>800</v>
      </c>
      <c r="J44" s="14">
        <v>800</v>
      </c>
      <c r="K44" s="14">
        <v>800</v>
      </c>
      <c r="L44" s="14">
        <v>800</v>
      </c>
      <c r="M44" s="14">
        <v>800</v>
      </c>
      <c r="N44" s="14">
        <v>800</v>
      </c>
      <c r="O44" s="43">
        <f>SUM(C44:N44)</f>
        <v>9000</v>
      </c>
      <c r="P44" s="14"/>
    </row>
    <row r="45" spans="1:16">
      <c r="A45" s="29"/>
      <c r="B45" s="21"/>
      <c r="C45" s="27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43"/>
      <c r="P45" s="14"/>
    </row>
    <row r="46" spans="1:16">
      <c r="A46" s="29"/>
      <c r="B46" s="82" t="s">
        <v>87</v>
      </c>
      <c r="C46" s="312">
        <f>SUM(C43:C45)</f>
        <v>1100</v>
      </c>
      <c r="D46" s="51">
        <f>SUM(D43:D45)</f>
        <v>1100</v>
      </c>
      <c r="E46" s="51">
        <f t="shared" ref="E46:O46" si="4">SUM(E43:E45)</f>
        <v>1100</v>
      </c>
      <c r="F46" s="51">
        <f t="shared" si="4"/>
        <v>1550</v>
      </c>
      <c r="G46" s="51">
        <f t="shared" si="4"/>
        <v>1550</v>
      </c>
      <c r="H46" s="51">
        <f t="shared" si="4"/>
        <v>1550</v>
      </c>
      <c r="I46" s="51">
        <f t="shared" si="4"/>
        <v>1550</v>
      </c>
      <c r="J46" s="51">
        <f t="shared" si="4"/>
        <v>1550</v>
      </c>
      <c r="K46" s="51">
        <f t="shared" si="4"/>
        <v>1550</v>
      </c>
      <c r="L46" s="51">
        <f t="shared" si="4"/>
        <v>1550</v>
      </c>
      <c r="M46" s="51">
        <f t="shared" si="4"/>
        <v>1550</v>
      </c>
      <c r="N46" s="51">
        <f t="shared" si="4"/>
        <v>1550</v>
      </c>
      <c r="O46" s="87">
        <f t="shared" si="4"/>
        <v>17250</v>
      </c>
      <c r="P46" s="313">
        <f>SUM(C46:N46)</f>
        <v>17250</v>
      </c>
    </row>
    <row r="47" spans="1:16">
      <c r="A47" s="29"/>
      <c r="B47" s="94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8"/>
      <c r="P47" s="313"/>
    </row>
    <row r="48" spans="1:16">
      <c r="A48" s="73"/>
      <c r="B48" s="47" t="s">
        <v>13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43"/>
      <c r="P48" s="313"/>
    </row>
    <row r="49" spans="1:16">
      <c r="A49" s="73" t="s">
        <v>50</v>
      </c>
      <c r="B49" s="21" t="s">
        <v>88</v>
      </c>
      <c r="C49" s="14"/>
      <c r="D49" s="14"/>
      <c r="E49" s="14">
        <f>'[2]GEN. O.H'!Q49</f>
        <v>10000</v>
      </c>
      <c r="F49" s="14"/>
      <c r="G49" s="14"/>
      <c r="H49" s="14"/>
      <c r="I49" s="14"/>
      <c r="J49" s="14"/>
      <c r="K49" s="14"/>
      <c r="L49" s="14"/>
      <c r="M49" s="14"/>
      <c r="N49" s="14">
        <f>C49</f>
        <v>0</v>
      </c>
      <c r="O49" s="43">
        <f>SUM(C49:N49)</f>
        <v>10000</v>
      </c>
      <c r="P49" s="313"/>
    </row>
    <row r="50" spans="1:16">
      <c r="A50" s="73" t="s">
        <v>50</v>
      </c>
      <c r="B50" s="21" t="s">
        <v>415</v>
      </c>
      <c r="C50" s="14">
        <v>2000</v>
      </c>
      <c r="D50" s="14">
        <v>2000</v>
      </c>
      <c r="E50" s="14">
        <v>2000</v>
      </c>
      <c r="F50" s="14">
        <v>2000</v>
      </c>
      <c r="G50" s="14">
        <v>2000</v>
      </c>
      <c r="H50" s="14">
        <v>2000</v>
      </c>
      <c r="I50" s="14">
        <v>2000</v>
      </c>
      <c r="J50" s="14">
        <v>2000</v>
      </c>
      <c r="K50" s="14">
        <v>2000</v>
      </c>
      <c r="L50" s="14">
        <v>2000</v>
      </c>
      <c r="M50" s="14">
        <v>2000</v>
      </c>
      <c r="N50" s="14">
        <v>2000</v>
      </c>
      <c r="O50" s="43">
        <f>SUM(C50:N50)</f>
        <v>24000</v>
      </c>
      <c r="P50" s="313"/>
    </row>
    <row r="51" spans="1:16">
      <c r="A51" s="73"/>
      <c r="B51" s="21" t="s">
        <v>185</v>
      </c>
      <c r="C51" s="14">
        <v>300</v>
      </c>
      <c r="D51" s="14">
        <v>300</v>
      </c>
      <c r="E51" s="14">
        <v>300</v>
      </c>
      <c r="F51" s="14">
        <v>300</v>
      </c>
      <c r="G51" s="14">
        <v>300</v>
      </c>
      <c r="H51" s="14">
        <v>300</v>
      </c>
      <c r="I51" s="14">
        <v>300</v>
      </c>
      <c r="J51" s="14">
        <v>300</v>
      </c>
      <c r="K51" s="14">
        <v>300</v>
      </c>
      <c r="L51" s="14">
        <v>300</v>
      </c>
      <c r="M51" s="14">
        <v>300</v>
      </c>
      <c r="N51" s="14">
        <v>300</v>
      </c>
      <c r="O51" s="43">
        <f>SUM(C51:N51)</f>
        <v>3600</v>
      </c>
      <c r="P51" s="313"/>
    </row>
    <row r="52" spans="1:16">
      <c r="A52" s="73"/>
      <c r="B52" s="21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43"/>
      <c r="P52" s="313"/>
    </row>
    <row r="53" spans="1:16">
      <c r="A53" s="73"/>
      <c r="B53" s="165" t="s">
        <v>89</v>
      </c>
      <c r="C53" s="51">
        <f t="shared" ref="C53:O53" si="5">SUM(C49:C51)</f>
        <v>2300</v>
      </c>
      <c r="D53" s="51">
        <f t="shared" si="5"/>
        <v>2300</v>
      </c>
      <c r="E53" s="51">
        <f t="shared" si="5"/>
        <v>12300</v>
      </c>
      <c r="F53" s="51">
        <f t="shared" si="5"/>
        <v>2300</v>
      </c>
      <c r="G53" s="51">
        <f t="shared" si="5"/>
        <v>2300</v>
      </c>
      <c r="H53" s="51">
        <f t="shared" si="5"/>
        <v>2300</v>
      </c>
      <c r="I53" s="51">
        <f t="shared" si="5"/>
        <v>2300</v>
      </c>
      <c r="J53" s="51">
        <f t="shared" si="5"/>
        <v>2300</v>
      </c>
      <c r="K53" s="51">
        <f t="shared" si="5"/>
        <v>2300</v>
      </c>
      <c r="L53" s="51">
        <f t="shared" si="5"/>
        <v>2300</v>
      </c>
      <c r="M53" s="51">
        <f t="shared" si="5"/>
        <v>2300</v>
      </c>
      <c r="N53" s="51">
        <f t="shared" si="5"/>
        <v>2300</v>
      </c>
      <c r="O53" s="87">
        <f t="shared" si="5"/>
        <v>37600</v>
      </c>
      <c r="P53" s="313">
        <f>SUM(C53:N53)</f>
        <v>37600</v>
      </c>
    </row>
    <row r="54" spans="1:16">
      <c r="A54" s="73"/>
      <c r="B54" s="21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43"/>
    </row>
    <row r="55" spans="1:16">
      <c r="A55" s="73"/>
      <c r="B55" s="65" t="s">
        <v>90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43"/>
    </row>
    <row r="56" spans="1:16">
      <c r="A56" s="29" t="s">
        <v>50</v>
      </c>
      <c r="B56" s="4" t="s">
        <v>91</v>
      </c>
      <c r="C56" s="14"/>
      <c r="D56" s="14"/>
      <c r="E56" s="14"/>
      <c r="F56" s="14">
        <v>2410</v>
      </c>
      <c r="G56" s="14"/>
      <c r="H56" s="14"/>
      <c r="I56" s="14"/>
      <c r="J56" s="14"/>
      <c r="K56" s="14"/>
      <c r="L56" s="14"/>
      <c r="M56" s="14">
        <v>1115</v>
      </c>
      <c r="N56" s="14"/>
      <c r="O56" s="43">
        <f>SUM(C56:N56)</f>
        <v>3525</v>
      </c>
    </row>
    <row r="57" spans="1:16">
      <c r="A57" s="29" t="s">
        <v>50</v>
      </c>
      <c r="B57" s="4" t="s">
        <v>92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>
        <v>4500</v>
      </c>
      <c r="N57" s="14"/>
      <c r="O57" s="43">
        <f>SUM(C57:N57)</f>
        <v>4500</v>
      </c>
    </row>
    <row r="58" spans="1:16">
      <c r="A58" s="29"/>
      <c r="B58" s="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43">
        <f>SUM(C58:I58)</f>
        <v>0</v>
      </c>
    </row>
    <row r="59" spans="1:16">
      <c r="A59" s="29"/>
      <c r="B59" s="82" t="s">
        <v>93</v>
      </c>
      <c r="C59" s="51">
        <f t="shared" ref="C59:O59" si="6">SUM(C56:C58)</f>
        <v>0</v>
      </c>
      <c r="D59" s="51">
        <f t="shared" si="6"/>
        <v>0</v>
      </c>
      <c r="E59" s="51">
        <f t="shared" si="6"/>
        <v>0</v>
      </c>
      <c r="F59" s="51">
        <f t="shared" si="6"/>
        <v>2410</v>
      </c>
      <c r="G59" s="51">
        <f t="shared" si="6"/>
        <v>0</v>
      </c>
      <c r="H59" s="51">
        <f t="shared" si="6"/>
        <v>0</v>
      </c>
      <c r="I59" s="51">
        <f t="shared" si="6"/>
        <v>0</v>
      </c>
      <c r="J59" s="51"/>
      <c r="K59" s="51"/>
      <c r="L59" s="51"/>
      <c r="M59" s="51">
        <f>SUM(M56:M58)</f>
        <v>5615</v>
      </c>
      <c r="N59" s="51"/>
      <c r="O59" s="87">
        <f t="shared" si="6"/>
        <v>8025</v>
      </c>
      <c r="P59" s="45">
        <f>SUM(C59:N59)</f>
        <v>8025</v>
      </c>
    </row>
    <row r="60" spans="1:16">
      <c r="A60" s="73"/>
      <c r="B60" s="47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43"/>
    </row>
    <row r="61" spans="1:16">
      <c r="A61" s="73"/>
      <c r="B61" s="65" t="s">
        <v>15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43"/>
    </row>
    <row r="62" spans="1:16">
      <c r="A62" s="73" t="s">
        <v>50</v>
      </c>
      <c r="B62" s="4" t="s">
        <v>95</v>
      </c>
      <c r="C62" s="14">
        <f>'[2]B.S SCHEDULES'!B70</f>
        <v>0</v>
      </c>
      <c r="D62" s="14">
        <f>'GEN. O.H'!G63</f>
        <v>5000</v>
      </c>
      <c r="E62" s="14">
        <f>'GEN. O.H'!H63</f>
        <v>30000</v>
      </c>
      <c r="F62" s="14">
        <f>'GEN. O.H'!I63</f>
        <v>9000</v>
      </c>
      <c r="G62" s="14">
        <f>'GEN. O.H'!J63</f>
        <v>9000</v>
      </c>
      <c r="H62" s="14">
        <f>'GEN. O.H'!K63</f>
        <v>7000</v>
      </c>
      <c r="I62" s="14">
        <f>'GEN. O.H'!L63</f>
        <v>5000</v>
      </c>
      <c r="J62" s="14">
        <f>'GEN. O.H'!M63</f>
        <v>5000</v>
      </c>
      <c r="K62" s="14">
        <f>'GEN. O.H'!N63</f>
        <v>5000</v>
      </c>
      <c r="L62" s="14">
        <f>'GEN. O.H'!O63</f>
        <v>6000</v>
      </c>
      <c r="M62" s="14">
        <f>'GEN. O.H'!P63</f>
        <v>6000</v>
      </c>
      <c r="N62" s="14">
        <f>'GEN. O.H'!Q63</f>
        <v>6000</v>
      </c>
      <c r="O62" s="43">
        <f>SUM(C62:N62)</f>
        <v>93000</v>
      </c>
    </row>
    <row r="63" spans="1:16">
      <c r="A63" s="73" t="s">
        <v>50</v>
      </c>
      <c r="B63" s="4" t="s">
        <v>96</v>
      </c>
      <c r="C63" s="14">
        <v>500</v>
      </c>
      <c r="D63" s="14">
        <v>500</v>
      </c>
      <c r="E63" s="14">
        <v>500</v>
      </c>
      <c r="F63" s="14">
        <v>500</v>
      </c>
      <c r="G63" s="14">
        <v>500</v>
      </c>
      <c r="H63" s="14">
        <v>500</v>
      </c>
      <c r="I63" s="14">
        <v>500</v>
      </c>
      <c r="J63" s="14">
        <v>500</v>
      </c>
      <c r="K63" s="14">
        <v>500</v>
      </c>
      <c r="L63" s="14">
        <v>500</v>
      </c>
      <c r="M63" s="14">
        <v>500</v>
      </c>
      <c r="N63" s="14">
        <v>500</v>
      </c>
      <c r="O63" s="43">
        <f>SUM(C63:N63)</f>
        <v>6000</v>
      </c>
    </row>
    <row r="64" spans="1:16">
      <c r="A64" s="73" t="s">
        <v>50</v>
      </c>
      <c r="B64" s="21" t="s">
        <v>187</v>
      </c>
      <c r="C64" s="14"/>
      <c r="D64" s="14">
        <f>'[2]GEN. O.H'!E63</f>
        <v>0</v>
      </c>
      <c r="E64" s="14">
        <f>'[2]GEN. O.H'!F63</f>
        <v>0</v>
      </c>
      <c r="F64" s="14">
        <f>'[2]GEN. O.H'!G63</f>
        <v>0</v>
      </c>
      <c r="G64" s="14">
        <f>'[2]GEN. O.H'!H63</f>
        <v>0</v>
      </c>
      <c r="H64" s="14">
        <f>'[2]GEN. O.H'!I63</f>
        <v>0</v>
      </c>
      <c r="I64" s="14">
        <f>'[2]GEN. O.H'!J63</f>
        <v>0</v>
      </c>
      <c r="J64" s="14">
        <f>'[2]GEN. O.H'!K63</f>
        <v>0</v>
      </c>
      <c r="K64" s="14">
        <f>'[2]GEN. O.H'!L63</f>
        <v>0</v>
      </c>
      <c r="L64" s="14">
        <f>'[2]GEN. O.H'!M63</f>
        <v>0</v>
      </c>
      <c r="M64" s="14">
        <f>'[2]GEN. O.H'!N63</f>
        <v>25000</v>
      </c>
      <c r="N64" s="14">
        <f>'[2]GEN. O.H'!O63</f>
        <v>0</v>
      </c>
      <c r="O64" s="43">
        <f>SUM(C64:N64)</f>
        <v>25000</v>
      </c>
    </row>
    <row r="65" spans="1:16">
      <c r="A65" s="73"/>
      <c r="B65" s="21" t="s">
        <v>188</v>
      </c>
      <c r="C65" s="14"/>
      <c r="D65" s="14"/>
      <c r="E65" s="14">
        <v>5000</v>
      </c>
      <c r="F65" s="14"/>
      <c r="G65" s="14">
        <v>1000</v>
      </c>
      <c r="H65" s="14"/>
      <c r="I65" s="14"/>
      <c r="J65" s="14"/>
      <c r="K65" s="14"/>
      <c r="L65" s="14"/>
      <c r="M65" s="14"/>
      <c r="N65" s="14"/>
      <c r="O65" s="43">
        <f>SUM(C65:I65)</f>
        <v>6000</v>
      </c>
    </row>
    <row r="66" spans="1:16">
      <c r="A66" s="73"/>
      <c r="B66" s="21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43"/>
    </row>
    <row r="67" spans="1:16">
      <c r="A67" s="73"/>
      <c r="B67" s="82" t="s">
        <v>97</v>
      </c>
      <c r="C67" s="51">
        <f t="shared" ref="C67:O67" si="7">SUM(C62:C65)</f>
        <v>500</v>
      </c>
      <c r="D67" s="51">
        <f t="shared" si="7"/>
        <v>5500</v>
      </c>
      <c r="E67" s="51">
        <f t="shared" si="7"/>
        <v>35500</v>
      </c>
      <c r="F67" s="51">
        <f t="shared" si="7"/>
        <v>9500</v>
      </c>
      <c r="G67" s="51">
        <f t="shared" si="7"/>
        <v>10500</v>
      </c>
      <c r="H67" s="51">
        <f t="shared" si="7"/>
        <v>7500</v>
      </c>
      <c r="I67" s="51">
        <f t="shared" si="7"/>
        <v>5500</v>
      </c>
      <c r="J67" s="51">
        <f t="shared" si="7"/>
        <v>5500</v>
      </c>
      <c r="K67" s="51">
        <f t="shared" si="7"/>
        <v>5500</v>
      </c>
      <c r="L67" s="51">
        <f t="shared" si="7"/>
        <v>6500</v>
      </c>
      <c r="M67" s="51">
        <f t="shared" si="7"/>
        <v>31500</v>
      </c>
      <c r="N67" s="51">
        <f t="shared" si="7"/>
        <v>6500</v>
      </c>
      <c r="O67" s="87">
        <f t="shared" si="7"/>
        <v>130000</v>
      </c>
      <c r="P67" s="45">
        <f>SUM(C67:N67)</f>
        <v>130000</v>
      </c>
    </row>
    <row r="68" spans="1:16">
      <c r="A68" s="7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43"/>
    </row>
    <row r="69" spans="1:16">
      <c r="A69" s="73"/>
      <c r="B69" s="65" t="s">
        <v>16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43"/>
    </row>
    <row r="70" spans="1:16">
      <c r="A70" s="73" t="s">
        <v>50</v>
      </c>
      <c r="B70" t="s">
        <v>98</v>
      </c>
      <c r="C70" s="14">
        <f>'GEN. O.H'!F71</f>
        <v>0</v>
      </c>
      <c r="D70" s="14">
        <f>'GEN. O.H'!G71</f>
        <v>0</v>
      </c>
      <c r="E70" s="14">
        <f>'GEN. O.H'!H71</f>
        <v>0</v>
      </c>
      <c r="F70" s="14">
        <f>'GEN. O.H'!I71</f>
        <v>0</v>
      </c>
      <c r="G70" s="14">
        <f>'GEN. O.H'!J71</f>
        <v>0</v>
      </c>
      <c r="H70" s="14">
        <f>'GEN. O.H'!K71</f>
        <v>0</v>
      </c>
      <c r="I70" s="14">
        <f>'GEN. O.H'!L71</f>
        <v>0</v>
      </c>
      <c r="J70" s="14">
        <f>'GEN. O.H'!M71</f>
        <v>0</v>
      </c>
      <c r="K70" s="14">
        <f>'GEN. O.H'!N71</f>
        <v>0</v>
      </c>
      <c r="L70" s="14">
        <f>'GEN. O.H'!O71</f>
        <v>0</v>
      </c>
      <c r="M70" s="14">
        <f>'GEN. O.H'!P71</f>
        <v>0</v>
      </c>
      <c r="N70" s="14">
        <f>'GEN. O.H'!Q71</f>
        <v>0</v>
      </c>
      <c r="O70" s="43">
        <f>SUM(C70:N70)</f>
        <v>0</v>
      </c>
    </row>
    <row r="71" spans="1:16">
      <c r="A71" s="73" t="s">
        <v>50</v>
      </c>
      <c r="B71" t="s">
        <v>100</v>
      </c>
      <c r="C71" s="14">
        <f>'GEN. O.H'!F73</f>
        <v>650</v>
      </c>
      <c r="D71" s="14">
        <f>'GEN. O.H'!G73</f>
        <v>720</v>
      </c>
      <c r="E71" s="14">
        <f>'GEN. O.H'!H73</f>
        <v>700</v>
      </c>
      <c r="F71" s="14">
        <f>'GEN. O.H'!I73</f>
        <v>700</v>
      </c>
      <c r="G71" s="14">
        <f>'GEN. O.H'!J73</f>
        <v>950</v>
      </c>
      <c r="H71" s="14">
        <f>'GEN. O.H'!K73</f>
        <v>950</v>
      </c>
      <c r="I71" s="14">
        <f>'GEN. O.H'!L73</f>
        <v>950</v>
      </c>
      <c r="J71" s="14">
        <f>'GEN. O.H'!M73</f>
        <v>950</v>
      </c>
      <c r="K71" s="14">
        <f>'GEN. O.H'!N73</f>
        <v>650</v>
      </c>
      <c r="L71" s="14">
        <f>'GEN. O.H'!O73</f>
        <v>650</v>
      </c>
      <c r="M71" s="14">
        <f>'GEN. O.H'!P73</f>
        <v>650</v>
      </c>
      <c r="N71" s="14">
        <f>'GEN. O.H'!Q73</f>
        <v>750</v>
      </c>
      <c r="O71" s="43">
        <f>SUM(C71:N71)</f>
        <v>9270</v>
      </c>
    </row>
    <row r="72" spans="1:16">
      <c r="A72" s="73" t="s">
        <v>50</v>
      </c>
      <c r="B72" t="s">
        <v>101</v>
      </c>
      <c r="C72" s="14">
        <f>'GEN. O.H'!F74</f>
        <v>18.33818181818182</v>
      </c>
      <c r="D72" s="14">
        <f>'GEN. O.H'!G74</f>
        <v>18.33818181818182</v>
      </c>
      <c r="E72" s="14">
        <f>'GEN. O.H'!H74</f>
        <v>18.33818181818182</v>
      </c>
      <c r="F72" s="14">
        <f>'GEN. O.H'!I74</f>
        <v>18.33818181818182</v>
      </c>
      <c r="G72" s="14">
        <f>'GEN. O.H'!J74</f>
        <v>18.33818181818182</v>
      </c>
      <c r="H72" s="14">
        <f>'GEN. O.H'!K74</f>
        <v>18.33818181818182</v>
      </c>
      <c r="I72" s="14">
        <f>'GEN. O.H'!L74</f>
        <v>18.33818181818182</v>
      </c>
      <c r="J72" s="14">
        <f>'GEN. O.H'!M74</f>
        <v>18.33818181818182</v>
      </c>
      <c r="K72" s="14">
        <f>'GEN. O.H'!N74</f>
        <v>18.33818181818182</v>
      </c>
      <c r="L72" s="14">
        <f>'GEN. O.H'!O74</f>
        <v>18.33818181818182</v>
      </c>
      <c r="M72" s="14">
        <f>'GEN. O.H'!P74</f>
        <v>18.33818181818182</v>
      </c>
      <c r="N72" s="14">
        <f>'GEN. O.H'!Q74</f>
        <v>18.33818181818182</v>
      </c>
      <c r="O72" s="43">
        <f>SUM(C72:N72)</f>
        <v>220.05818181818185</v>
      </c>
    </row>
    <row r="73" spans="1:16">
      <c r="A73" s="73"/>
      <c r="B73" t="s">
        <v>462</v>
      </c>
      <c r="C73" s="14">
        <f>'GEN. O.H'!F75</f>
        <v>27.814545454545453</v>
      </c>
      <c r="D73" s="14">
        <f>'GEN. O.H'!G75</f>
        <v>27.814545454545453</v>
      </c>
      <c r="E73" s="14">
        <f>'GEN. O.H'!H75</f>
        <v>27.814545454545453</v>
      </c>
      <c r="F73" s="14">
        <f>'GEN. O.H'!I75</f>
        <v>27.814545454545453</v>
      </c>
      <c r="G73" s="14">
        <f>'GEN. O.H'!J75</f>
        <v>27.814545454545453</v>
      </c>
      <c r="H73" s="14">
        <f>'GEN. O.H'!K75</f>
        <v>27.814545454545453</v>
      </c>
      <c r="I73" s="14">
        <f>'GEN. O.H'!L75</f>
        <v>27.814545454545453</v>
      </c>
      <c r="J73" s="14">
        <f>'GEN. O.H'!M75</f>
        <v>27.814545454545453</v>
      </c>
      <c r="K73" s="14">
        <f>'GEN. O.H'!N75</f>
        <v>27.814545454545453</v>
      </c>
      <c r="L73" s="14">
        <f>'GEN. O.H'!O75</f>
        <v>27.814545454545453</v>
      </c>
      <c r="M73" s="14">
        <f>'GEN. O.H'!P75</f>
        <v>27.814545454545453</v>
      </c>
      <c r="N73" s="14">
        <f>'GEN. O.H'!Q75</f>
        <v>27.814545454545453</v>
      </c>
      <c r="O73" s="43">
        <f>SUM(C73:N73)</f>
        <v>333.77454545454543</v>
      </c>
    </row>
    <row r="74" spans="1:16">
      <c r="A74" s="73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43"/>
    </row>
    <row r="75" spans="1:16">
      <c r="A75" s="73"/>
      <c r="B75" s="82" t="s">
        <v>102</v>
      </c>
      <c r="C75" s="51">
        <f t="shared" ref="C75:O75" si="8">SUM(C70:C73)</f>
        <v>696.15272727272736</v>
      </c>
      <c r="D75" s="51">
        <f t="shared" si="8"/>
        <v>766.15272727272736</v>
      </c>
      <c r="E75" s="51">
        <f t="shared" si="8"/>
        <v>746.15272727272736</v>
      </c>
      <c r="F75" s="51">
        <f t="shared" si="8"/>
        <v>746.15272727272736</v>
      </c>
      <c r="G75" s="51">
        <f t="shared" si="8"/>
        <v>996.15272727272736</v>
      </c>
      <c r="H75" s="51">
        <f t="shared" si="8"/>
        <v>996.15272727272736</v>
      </c>
      <c r="I75" s="51">
        <f t="shared" si="8"/>
        <v>996.15272727272736</v>
      </c>
      <c r="J75" s="51">
        <f>SUM(J70:J73)</f>
        <v>996.15272727272736</v>
      </c>
      <c r="K75" s="51">
        <f>SUM(K70:K73)</f>
        <v>696.15272727272736</v>
      </c>
      <c r="L75" s="51">
        <f>SUM(L70:L73)</f>
        <v>696.15272727272736</v>
      </c>
      <c r="M75" s="51">
        <f>SUM(M70:M73)</f>
        <v>696.15272727272736</v>
      </c>
      <c r="N75" s="51">
        <f>SUM(N70:N73)</f>
        <v>796.15272727272736</v>
      </c>
      <c r="O75" s="87">
        <f t="shared" si="8"/>
        <v>9823.8327272727274</v>
      </c>
      <c r="P75" s="45">
        <f>SUM(C75:N75)</f>
        <v>9823.8327272727274</v>
      </c>
    </row>
    <row r="76" spans="1:16">
      <c r="A76" s="29"/>
      <c r="B76" s="90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2"/>
      <c r="P76" s="45"/>
    </row>
    <row r="77" spans="1:16">
      <c r="A77" s="73"/>
      <c r="B77" s="82" t="s">
        <v>104</v>
      </c>
      <c r="C77" s="312">
        <f>SUM(C18+C40+C46+C53+C59+C67+C75)</f>
        <v>210168.40310606064</v>
      </c>
      <c r="D77" s="312">
        <f t="shared" ref="D77:N77" si="9">SUM(D18+D40+D46+D53+D59+D67+D75)</f>
        <v>155509.00310606064</v>
      </c>
      <c r="E77" s="312">
        <f t="shared" si="9"/>
        <v>237751.50310606064</v>
      </c>
      <c r="F77" s="312">
        <f t="shared" si="9"/>
        <v>181824.00310606064</v>
      </c>
      <c r="G77" s="312">
        <f t="shared" si="9"/>
        <v>179079.00310606064</v>
      </c>
      <c r="H77" s="312">
        <f t="shared" si="9"/>
        <v>286915.00310606061</v>
      </c>
      <c r="I77" s="312">
        <f t="shared" si="9"/>
        <v>212839.00310606064</v>
      </c>
      <c r="J77" s="312">
        <f t="shared" si="9"/>
        <v>175684.00310606064</v>
      </c>
      <c r="K77" s="312">
        <f t="shared" si="9"/>
        <v>190184.00310606064</v>
      </c>
      <c r="L77" s="312">
        <f t="shared" si="9"/>
        <v>297120.00310606061</v>
      </c>
      <c r="M77" s="312">
        <f t="shared" si="9"/>
        <v>222004.00310606064</v>
      </c>
      <c r="N77" s="312">
        <f t="shared" si="9"/>
        <v>200489.00310606064</v>
      </c>
      <c r="O77" s="51">
        <f>SUM(O18+O40+O46+O53+O59+O67+O75)</f>
        <v>2549566.937272727</v>
      </c>
      <c r="P77" s="45">
        <f>SUM(C77:N77)</f>
        <v>2549566.9372727275</v>
      </c>
    </row>
    <row r="78" spans="1:16">
      <c r="A78" s="73"/>
      <c r="O78" s="3"/>
    </row>
    <row r="79" spans="1:16">
      <c r="A79" s="73"/>
      <c r="B79" s="65" t="s">
        <v>105</v>
      </c>
      <c r="O79" s="41"/>
    </row>
    <row r="80" spans="1:16">
      <c r="A80" s="73"/>
      <c r="O80" s="41"/>
    </row>
    <row r="81" spans="1:16">
      <c r="A81" s="73"/>
      <c r="B81" s="31" t="s">
        <v>416</v>
      </c>
      <c r="O81" s="41"/>
    </row>
    <row r="82" spans="1:16">
      <c r="A82" s="73"/>
      <c r="B82" t="s">
        <v>106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43">
        <f t="shared" ref="O82:O94" si="10">SUM(C82:I82)</f>
        <v>0</v>
      </c>
    </row>
    <row r="83" spans="1:16">
      <c r="A83" s="73"/>
      <c r="B83" t="s">
        <v>107</v>
      </c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3">
        <f t="shared" si="10"/>
        <v>0</v>
      </c>
    </row>
    <row r="84" spans="1:16">
      <c r="A84" s="73"/>
      <c r="B84" t="s">
        <v>108</v>
      </c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3">
        <f t="shared" si="10"/>
        <v>0</v>
      </c>
    </row>
    <row r="85" spans="1:16">
      <c r="A85" s="73"/>
      <c r="B85" t="s">
        <v>109</v>
      </c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3">
        <f t="shared" si="10"/>
        <v>0</v>
      </c>
    </row>
    <row r="86" spans="1:16">
      <c r="A86" s="73"/>
      <c r="B86" t="s">
        <v>110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3">
        <f t="shared" si="10"/>
        <v>0</v>
      </c>
    </row>
    <row r="87" spans="1:16">
      <c r="A87" s="73"/>
      <c r="B87" t="s">
        <v>111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3">
        <f t="shared" si="10"/>
        <v>0</v>
      </c>
    </row>
    <row r="88" spans="1:16">
      <c r="A88" s="73"/>
      <c r="B88" t="s">
        <v>112</v>
      </c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3">
        <f t="shared" si="10"/>
        <v>0</v>
      </c>
    </row>
    <row r="89" spans="1:16">
      <c r="A89" s="73"/>
      <c r="B89" t="s">
        <v>113</v>
      </c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3">
        <f t="shared" si="10"/>
        <v>0</v>
      </c>
    </row>
    <row r="90" spans="1:16">
      <c r="A90" s="73"/>
      <c r="B90" t="s">
        <v>114</v>
      </c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3">
        <f t="shared" si="10"/>
        <v>0</v>
      </c>
    </row>
    <row r="91" spans="1:16">
      <c r="A91" s="73"/>
      <c r="B91" t="s">
        <v>115</v>
      </c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3">
        <f t="shared" si="10"/>
        <v>0</v>
      </c>
    </row>
    <row r="92" spans="1:16">
      <c r="A92" s="73"/>
      <c r="B92" t="s">
        <v>116</v>
      </c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3">
        <f t="shared" si="10"/>
        <v>0</v>
      </c>
    </row>
    <row r="93" spans="1:16">
      <c r="A93" s="73"/>
      <c r="B93" t="s">
        <v>117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3">
        <f t="shared" si="10"/>
        <v>0</v>
      </c>
    </row>
    <row r="94" spans="1:16">
      <c r="A94" s="73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43">
        <f t="shared" si="10"/>
        <v>0</v>
      </c>
    </row>
    <row r="95" spans="1:16">
      <c r="A95" s="73"/>
      <c r="B95" s="82" t="s">
        <v>119</v>
      </c>
      <c r="C95" s="51">
        <f t="shared" ref="C95:O95" si="11">SUM(C82:C94)</f>
        <v>0</v>
      </c>
      <c r="D95" s="51">
        <f t="shared" si="11"/>
        <v>0</v>
      </c>
      <c r="E95" s="51">
        <f t="shared" si="11"/>
        <v>0</v>
      </c>
      <c r="F95" s="51">
        <f t="shared" si="11"/>
        <v>0</v>
      </c>
      <c r="G95" s="51">
        <f t="shared" si="11"/>
        <v>0</v>
      </c>
      <c r="H95" s="51">
        <f t="shared" si="11"/>
        <v>0</v>
      </c>
      <c r="I95" s="51">
        <f t="shared" si="11"/>
        <v>0</v>
      </c>
      <c r="J95" s="51">
        <f>SUM(J82:J94)</f>
        <v>0</v>
      </c>
      <c r="K95" s="51">
        <f>SUM(K82:K94)</f>
        <v>0</v>
      </c>
      <c r="L95" s="51">
        <f>SUM(L82:L94)</f>
        <v>0</v>
      </c>
      <c r="M95" s="51">
        <f>SUM(M82:M94)</f>
        <v>0</v>
      </c>
      <c r="N95" s="51">
        <f>SUM(N82:N94)</f>
        <v>0</v>
      </c>
      <c r="O95" s="87">
        <f t="shared" si="11"/>
        <v>0</v>
      </c>
      <c r="P95" s="45">
        <f>SUM(C95:I95)</f>
        <v>0</v>
      </c>
    </row>
    <row r="96" spans="1:16">
      <c r="A96" s="73"/>
      <c r="O96" s="41"/>
    </row>
    <row r="97" spans="1:16">
      <c r="A97" s="73"/>
      <c r="B97" s="31" t="s">
        <v>417</v>
      </c>
      <c r="O97" s="41"/>
    </row>
    <row r="98" spans="1:16">
      <c r="A98" s="73"/>
      <c r="B98" t="s">
        <v>121</v>
      </c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43">
        <f>SUM(C98:I98)</f>
        <v>0</v>
      </c>
      <c r="P98" s="45"/>
    </row>
    <row r="99" spans="1:16">
      <c r="A99" s="73"/>
      <c r="B99" t="s">
        <v>418</v>
      </c>
      <c r="C99" s="52">
        <v>46688</v>
      </c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43">
        <f>SUM(C99:I99)</f>
        <v>46688</v>
      </c>
      <c r="P99" s="45"/>
    </row>
    <row r="100" spans="1:16">
      <c r="A100" s="73"/>
      <c r="O100" s="41"/>
    </row>
    <row r="101" spans="1:16">
      <c r="A101" s="73"/>
      <c r="B101" s="99" t="s">
        <v>122</v>
      </c>
      <c r="C101" s="101">
        <f t="shared" ref="C101:O101" si="12">SUM(C98:C100)</f>
        <v>46688</v>
      </c>
      <c r="D101" s="102">
        <f t="shared" si="12"/>
        <v>0</v>
      </c>
      <c r="E101" s="102">
        <f t="shared" si="12"/>
        <v>0</v>
      </c>
      <c r="F101" s="102">
        <f t="shared" si="12"/>
        <v>0</v>
      </c>
      <c r="G101" s="102">
        <f t="shared" si="12"/>
        <v>0</v>
      </c>
      <c r="H101" s="102">
        <f t="shared" si="12"/>
        <v>0</v>
      </c>
      <c r="I101" s="102">
        <f t="shared" si="12"/>
        <v>0</v>
      </c>
      <c r="J101" s="102">
        <f>SUM(J98:J100)</f>
        <v>0</v>
      </c>
      <c r="K101" s="102">
        <f>SUM(K98:K100)</f>
        <v>0</v>
      </c>
      <c r="L101" s="102">
        <f>SUM(L98:L100)</f>
        <v>0</v>
      </c>
      <c r="M101" s="102">
        <f>SUM(M98:M100)</f>
        <v>0</v>
      </c>
      <c r="N101" s="102">
        <f>SUM(N98:N100)</f>
        <v>0</v>
      </c>
      <c r="O101" s="103">
        <f t="shared" si="12"/>
        <v>46688</v>
      </c>
      <c r="P101" s="45">
        <f>SUM(C101:I101)</f>
        <v>46688</v>
      </c>
    </row>
    <row r="102" spans="1:16">
      <c r="A102" s="73"/>
      <c r="C102" s="4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41"/>
    </row>
    <row r="103" spans="1:16">
      <c r="A103" s="73"/>
      <c r="B103" s="99" t="s">
        <v>123</v>
      </c>
      <c r="C103" s="101">
        <f t="shared" ref="C103:O103" si="13">SUM(C95+C101)</f>
        <v>46688</v>
      </c>
      <c r="D103" s="102">
        <f t="shared" si="13"/>
        <v>0</v>
      </c>
      <c r="E103" s="102">
        <f t="shared" si="13"/>
        <v>0</v>
      </c>
      <c r="F103" s="102">
        <f t="shared" si="13"/>
        <v>0</v>
      </c>
      <c r="G103" s="102">
        <f t="shared" si="13"/>
        <v>0</v>
      </c>
      <c r="H103" s="102">
        <f t="shared" si="13"/>
        <v>0</v>
      </c>
      <c r="I103" s="102">
        <f t="shared" si="13"/>
        <v>0</v>
      </c>
      <c r="J103" s="102">
        <f>SUM(J95+J101)</f>
        <v>0</v>
      </c>
      <c r="K103" s="102">
        <f>SUM(K95+K101)</f>
        <v>0</v>
      </c>
      <c r="L103" s="102">
        <f>SUM(L95+L101)</f>
        <v>0</v>
      </c>
      <c r="M103" s="102">
        <f>SUM(M95+M101)</f>
        <v>0</v>
      </c>
      <c r="N103" s="102">
        <f>SUM(N95+N101)</f>
        <v>0</v>
      </c>
      <c r="O103" s="103">
        <f t="shared" si="13"/>
        <v>46688</v>
      </c>
      <c r="P103" s="45">
        <f>SUM(C103:I103)</f>
        <v>46688</v>
      </c>
    </row>
    <row r="104" spans="1:16">
      <c r="A104" s="73"/>
      <c r="O104" s="41"/>
    </row>
    <row r="105" spans="1:16">
      <c r="A105" s="73" t="s">
        <v>50</v>
      </c>
      <c r="B105" t="s">
        <v>21</v>
      </c>
      <c r="C105" s="266">
        <f>'[2]GEN. O.H'!E77</f>
        <v>10000</v>
      </c>
      <c r="D105" s="266">
        <f>'[2]GEN. O.H'!F77</f>
        <v>10000</v>
      </c>
      <c r="E105" s="266">
        <f>'[2]GEN. O.H'!G77</f>
        <v>10000</v>
      </c>
      <c r="F105" s="266">
        <f>'[2]GEN. O.H'!H77</f>
        <v>10000</v>
      </c>
      <c r="G105" s="266">
        <f>'[2]GEN. O.H'!I77</f>
        <v>10000</v>
      </c>
      <c r="H105" s="266">
        <f>'[2]GEN. O.H'!J77</f>
        <v>10000</v>
      </c>
      <c r="I105" s="266">
        <f>'[2]GEN. O.H'!K77</f>
        <v>10000</v>
      </c>
      <c r="J105" s="266">
        <f>'[2]GEN. O.H'!L77</f>
        <v>10000</v>
      </c>
      <c r="K105" s="266">
        <f>'[2]GEN. O.H'!M77</f>
        <v>10000</v>
      </c>
      <c r="L105" s="266">
        <f>'[2]GEN. O.H'!N77</f>
        <v>10000</v>
      </c>
      <c r="M105" s="266">
        <f>'[2]GEN. O.H'!O77</f>
        <v>10000</v>
      </c>
      <c r="N105" s="266">
        <f>'[2]GEN. O.H'!P77</f>
        <v>10000</v>
      </c>
      <c r="O105" s="43">
        <f>SUM(C105:N105)</f>
        <v>120000</v>
      </c>
    </row>
    <row r="106" spans="1:16">
      <c r="A106" s="73"/>
      <c r="O106" s="41"/>
    </row>
    <row r="107" spans="1:16">
      <c r="A107" s="274"/>
      <c r="B107" s="105" t="s">
        <v>125</v>
      </c>
      <c r="C107" s="107">
        <f>SUM(C77+C103+C105)</f>
        <v>266856.40310606064</v>
      </c>
      <c r="D107" s="107">
        <f t="shared" ref="D107:O107" si="14">SUM(D77+D103+D105)</f>
        <v>165509.00310606064</v>
      </c>
      <c r="E107" s="107">
        <f t="shared" si="14"/>
        <v>247751.50310606064</v>
      </c>
      <c r="F107" s="107">
        <f t="shared" si="14"/>
        <v>191824.00310606064</v>
      </c>
      <c r="G107" s="107">
        <f t="shared" si="14"/>
        <v>189079.00310606064</v>
      </c>
      <c r="H107" s="107">
        <f t="shared" si="14"/>
        <v>296915.00310606061</v>
      </c>
      <c r="I107" s="107">
        <f t="shared" si="14"/>
        <v>222839.00310606064</v>
      </c>
      <c r="J107" s="107">
        <f t="shared" si="14"/>
        <v>185684.00310606064</v>
      </c>
      <c r="K107" s="107">
        <f t="shared" si="14"/>
        <v>200184.00310606064</v>
      </c>
      <c r="L107" s="107">
        <f t="shared" si="14"/>
        <v>307120.00310606061</v>
      </c>
      <c r="M107" s="107">
        <f t="shared" si="14"/>
        <v>232004.00310606064</v>
      </c>
      <c r="N107" s="107">
        <f t="shared" si="14"/>
        <v>210489.00310606064</v>
      </c>
      <c r="O107" s="107">
        <f t="shared" si="14"/>
        <v>2716254.937272727</v>
      </c>
      <c r="P107" s="45">
        <f>SUM(C107:N107)</f>
        <v>2716254.9372727275</v>
      </c>
    </row>
    <row r="108" spans="1:16">
      <c r="A108" s="29"/>
    </row>
    <row r="109" spans="1:16" hidden="1">
      <c r="A109" s="29"/>
    </row>
    <row r="110" spans="1:16" hidden="1">
      <c r="A110" s="31" t="s">
        <v>201</v>
      </c>
      <c r="O110" s="275"/>
    </row>
    <row r="111" spans="1:16" hidden="1">
      <c r="A111" s="31"/>
      <c r="B111" s="30" t="s">
        <v>11</v>
      </c>
    </row>
    <row r="112" spans="1:16" hidden="1">
      <c r="A112" s="31" t="s">
        <v>419</v>
      </c>
      <c r="B112" t="s">
        <v>420</v>
      </c>
      <c r="I112" s="185"/>
      <c r="J112" s="185"/>
      <c r="K112" s="185"/>
      <c r="L112" s="185"/>
      <c r="M112" s="185"/>
      <c r="N112" s="185"/>
    </row>
    <row r="113" spans="1:15" hidden="1">
      <c r="A113" s="31" t="s">
        <v>419</v>
      </c>
      <c r="B113" t="s">
        <v>421</v>
      </c>
    </row>
    <row r="114" spans="1:15" hidden="1">
      <c r="A114" s="276"/>
      <c r="H114" s="30"/>
      <c r="O114" s="277"/>
    </row>
    <row r="115" spans="1:15" hidden="1">
      <c r="A115" s="276"/>
    </row>
    <row r="116" spans="1:15" hidden="1">
      <c r="A116" s="276"/>
      <c r="O116" s="277"/>
    </row>
    <row r="117" spans="1:15" hidden="1">
      <c r="A117" s="276"/>
      <c r="C117" s="266"/>
      <c r="D117" s="45"/>
    </row>
    <row r="118" spans="1:15" hidden="1">
      <c r="A118" s="276"/>
    </row>
    <row r="119" spans="1:15" hidden="1">
      <c r="A119" s="276"/>
    </row>
    <row r="120" spans="1:15" hidden="1">
      <c r="A120" s="276"/>
    </row>
    <row r="121" spans="1:15" hidden="1">
      <c r="A121" s="276"/>
    </row>
    <row r="122" spans="1:15" hidden="1">
      <c r="A122" s="276"/>
    </row>
    <row r="123" spans="1:15" hidden="1">
      <c r="A123" s="276"/>
    </row>
    <row r="124" spans="1:15" hidden="1">
      <c r="A124" s="276"/>
    </row>
    <row r="125" spans="1:15" hidden="1">
      <c r="A125" s="276"/>
    </row>
    <row r="126" spans="1:15" hidden="1">
      <c r="A126" s="276"/>
      <c r="B126" s="30" t="s">
        <v>64</v>
      </c>
    </row>
    <row r="127" spans="1:15" hidden="1">
      <c r="A127" s="276"/>
    </row>
    <row r="128" spans="1:15" hidden="1">
      <c r="A128" s="276"/>
    </row>
    <row r="129" spans="1:1" hidden="1">
      <c r="A129" s="276"/>
    </row>
    <row r="130" spans="1:1" hidden="1">
      <c r="A130" s="276"/>
    </row>
    <row r="131" spans="1:1" hidden="1">
      <c r="A131" s="276"/>
    </row>
    <row r="132" spans="1:1" hidden="1">
      <c r="A132" s="276"/>
    </row>
    <row r="133" spans="1:1" hidden="1">
      <c r="A133" s="276"/>
    </row>
    <row r="134" spans="1:1" hidden="1">
      <c r="A134" s="276"/>
    </row>
    <row r="135" spans="1:1" hidden="1">
      <c r="A135" s="276"/>
    </row>
    <row r="136" spans="1:1" hidden="1">
      <c r="A136" s="276"/>
    </row>
    <row r="137" spans="1:1" hidden="1">
      <c r="A137" s="276"/>
    </row>
    <row r="138" spans="1:1" hidden="1">
      <c r="A138" s="276"/>
    </row>
    <row r="139" spans="1:1" hidden="1">
      <c r="A139" s="276"/>
    </row>
    <row r="140" spans="1:1" hidden="1">
      <c r="A140" s="276"/>
    </row>
    <row r="141" spans="1:1" hidden="1">
      <c r="A141" s="276"/>
    </row>
    <row r="142" spans="1:1" hidden="1">
      <c r="A142" s="276"/>
    </row>
    <row r="143" spans="1:1" hidden="1">
      <c r="A143" s="276"/>
    </row>
    <row r="144" spans="1:1" hidden="1">
      <c r="A144" s="276"/>
    </row>
    <row r="145" spans="1:2" hidden="1">
      <c r="A145" s="276"/>
    </row>
    <row r="146" spans="1:2" hidden="1">
      <c r="A146" s="276"/>
    </row>
    <row r="147" spans="1:2" hidden="1">
      <c r="A147" s="276"/>
      <c r="B147" s="30" t="s">
        <v>14</v>
      </c>
    </row>
    <row r="148" spans="1:2" hidden="1">
      <c r="A148" s="276"/>
    </row>
    <row r="149" spans="1:2" hidden="1">
      <c r="A149" s="276"/>
    </row>
    <row r="150" spans="1:2" hidden="1">
      <c r="A150" s="276"/>
    </row>
    <row r="151" spans="1:2" hidden="1">
      <c r="A151" s="276"/>
    </row>
    <row r="152" spans="1:2" hidden="1">
      <c r="A152" s="276"/>
    </row>
    <row r="153" spans="1:2" hidden="1">
      <c r="A153" s="276"/>
      <c r="B153" s="30" t="s">
        <v>15</v>
      </c>
    </row>
    <row r="154" spans="1:2" hidden="1">
      <c r="A154" s="276"/>
    </row>
    <row r="155" spans="1:2" hidden="1">
      <c r="A155" s="276"/>
    </row>
    <row r="156" spans="1:2" hidden="1">
      <c r="A156" s="276"/>
    </row>
    <row r="157" spans="1:2" hidden="1">
      <c r="A157" s="276"/>
      <c r="B157" s="30" t="s">
        <v>422</v>
      </c>
    </row>
    <row r="158" spans="1:2" hidden="1">
      <c r="A158" s="276"/>
      <c r="B158" s="63"/>
    </row>
    <row r="159" spans="1:2" hidden="1">
      <c r="A159" s="276"/>
    </row>
    <row r="160" spans="1:2" hidden="1">
      <c r="A160" s="276"/>
    </row>
    <row r="161" spans="1:16" hidden="1">
      <c r="A161" s="276"/>
    </row>
    <row r="162" spans="1:16" hidden="1">
      <c r="A162" s="29"/>
      <c r="B162" s="30" t="s">
        <v>23</v>
      </c>
    </row>
    <row r="163" spans="1:16" hidden="1">
      <c r="A163" s="29"/>
      <c r="B163" s="63"/>
    </row>
    <row r="164" spans="1:16" hidden="1">
      <c r="A164" s="29"/>
    </row>
    <row r="165" spans="1:16" hidden="1">
      <c r="A165" s="29"/>
    </row>
    <row r="166" spans="1:16" hidden="1">
      <c r="A166" s="29"/>
    </row>
    <row r="167" spans="1:16" hidden="1">
      <c r="A167" s="29"/>
    </row>
    <row r="168" spans="1:16" hidden="1">
      <c r="A168" s="29"/>
    </row>
    <row r="169" spans="1:16" hidden="1">
      <c r="A169" s="29"/>
      <c r="B169" s="30" t="s">
        <v>24</v>
      </c>
    </row>
    <row r="170" spans="1:16">
      <c r="A170" s="29"/>
    </row>
    <row r="171" spans="1:16" hidden="1">
      <c r="A171" s="29"/>
      <c r="B171" s="32" t="s">
        <v>423</v>
      </c>
    </row>
    <row r="172" spans="1:16" hidden="1">
      <c r="A172" s="29"/>
      <c r="B172" t="s">
        <v>448</v>
      </c>
      <c r="C172" s="266">
        <v>211054</v>
      </c>
      <c r="D172" s="266">
        <v>211054</v>
      </c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>
        <f>SUM(C172:N172)</f>
        <v>422108</v>
      </c>
      <c r="P172" s="266"/>
    </row>
    <row r="173" spans="1:16" hidden="1">
      <c r="A173" s="29"/>
      <c r="B173" t="s">
        <v>424</v>
      </c>
      <c r="C173" s="266"/>
      <c r="D173" s="266">
        <f>([2]SALES!E6+[2]SALES!E12)*50%</f>
        <v>23706.25</v>
      </c>
      <c r="E173" s="266">
        <f>D173</f>
        <v>23706.25</v>
      </c>
      <c r="F173" s="266"/>
      <c r="G173" s="266"/>
      <c r="H173" s="266"/>
      <c r="I173" s="266"/>
      <c r="J173" s="266"/>
      <c r="K173" s="266"/>
      <c r="L173" s="266"/>
      <c r="M173" s="266"/>
      <c r="N173" s="266"/>
      <c r="O173" s="266">
        <f t="shared" ref="O173:O184" si="15">SUM(C173:N173)</f>
        <v>47412.5</v>
      </c>
      <c r="P173" s="266"/>
    </row>
    <row r="174" spans="1:16" hidden="1">
      <c r="A174" s="29"/>
      <c r="B174" t="s">
        <v>425</v>
      </c>
      <c r="C174" s="266"/>
      <c r="D174" s="266"/>
      <c r="E174" s="266">
        <f>([2]SALES!H6+[2]SALES!H12)*50%</f>
        <v>52153.75</v>
      </c>
      <c r="F174" s="266">
        <f>E174</f>
        <v>52153.75</v>
      </c>
      <c r="G174" s="266"/>
      <c r="H174" s="266"/>
      <c r="I174" s="266"/>
      <c r="J174" s="266"/>
      <c r="K174" s="266"/>
      <c r="L174" s="266"/>
      <c r="M174" s="266"/>
      <c r="N174" s="266"/>
      <c r="O174" s="266">
        <f t="shared" si="15"/>
        <v>104307.5</v>
      </c>
      <c r="P174" s="266"/>
    </row>
    <row r="175" spans="1:16" hidden="1">
      <c r="A175" s="29"/>
      <c r="B175" t="s">
        <v>426</v>
      </c>
      <c r="C175" s="266"/>
      <c r="D175" s="266"/>
      <c r="E175" s="266"/>
      <c r="F175" s="266">
        <f>([2]SALES!K6+[2]SALES!K12)*50%</f>
        <v>61636.25</v>
      </c>
      <c r="G175" s="266">
        <f>F175</f>
        <v>61636.25</v>
      </c>
      <c r="H175" s="266"/>
      <c r="I175" s="266"/>
      <c r="J175" s="266"/>
      <c r="K175" s="266"/>
      <c r="L175" s="266"/>
      <c r="M175" s="266"/>
      <c r="N175" s="266"/>
      <c r="O175" s="266">
        <f t="shared" si="15"/>
        <v>123272.5</v>
      </c>
      <c r="P175" s="266"/>
    </row>
    <row r="176" spans="1:16" hidden="1">
      <c r="A176" s="29"/>
      <c r="B176" t="s">
        <v>427</v>
      </c>
      <c r="C176" s="266"/>
      <c r="D176" s="266"/>
      <c r="E176" s="266"/>
      <c r="F176" s="266"/>
      <c r="G176" s="266">
        <f>([2]SALES!N6+[2]SALES!N12)*50%</f>
        <v>66377.5</v>
      </c>
      <c r="H176" s="266">
        <f>G176</f>
        <v>66377.5</v>
      </c>
      <c r="I176" s="266"/>
      <c r="J176" s="266"/>
      <c r="K176" s="266"/>
      <c r="L176" s="266"/>
      <c r="M176" s="266"/>
      <c r="N176" s="266"/>
      <c r="O176" s="266">
        <f t="shared" si="15"/>
        <v>132755</v>
      </c>
      <c r="P176" s="266"/>
    </row>
    <row r="177" spans="1:17" hidden="1">
      <c r="A177" s="29"/>
      <c r="B177" t="s">
        <v>428</v>
      </c>
      <c r="C177" s="266"/>
      <c r="D177" s="266"/>
      <c r="E177" s="266"/>
      <c r="F177" s="266"/>
      <c r="G177" s="266"/>
      <c r="H177" s="266">
        <f>([2]SALES!Q6+[2]SALES!Q12)*50%</f>
        <v>71118.75</v>
      </c>
      <c r="I177" s="266">
        <f>H177</f>
        <v>71118.75</v>
      </c>
      <c r="J177" s="266"/>
      <c r="K177" s="266"/>
      <c r="L177" s="266"/>
      <c r="M177" s="266"/>
      <c r="N177" s="266"/>
      <c r="O177" s="266">
        <f t="shared" si="15"/>
        <v>142237.5</v>
      </c>
      <c r="P177" s="266"/>
    </row>
    <row r="178" spans="1:17" hidden="1">
      <c r="A178" s="29"/>
      <c r="B178" t="s">
        <v>429</v>
      </c>
      <c r="C178" s="266"/>
      <c r="D178" s="266"/>
      <c r="E178" s="266"/>
      <c r="F178" s="266"/>
      <c r="G178" s="266"/>
      <c r="H178" s="266"/>
      <c r="I178" s="266">
        <f>([2]SALES!T6+[2]SALES!T12)*50%</f>
        <v>71118.75</v>
      </c>
      <c r="J178" s="266">
        <f>I178</f>
        <v>71118.75</v>
      </c>
      <c r="K178" s="266"/>
      <c r="L178" s="266"/>
      <c r="M178" s="266"/>
      <c r="N178" s="266"/>
      <c r="O178" s="266">
        <f t="shared" si="15"/>
        <v>142237.5</v>
      </c>
      <c r="P178" s="266"/>
    </row>
    <row r="179" spans="1:17" hidden="1">
      <c r="A179" s="29"/>
      <c r="B179" t="s">
        <v>430</v>
      </c>
      <c r="C179" s="266"/>
      <c r="D179" s="266"/>
      <c r="E179" s="266"/>
      <c r="F179" s="266"/>
      <c r="G179" s="266"/>
      <c r="H179" s="266"/>
      <c r="I179" s="266"/>
      <c r="J179" s="266">
        <f>([2]SALES!W6+[2]SALES!W12)*50%</f>
        <v>56895</v>
      </c>
      <c r="K179" s="266">
        <f>J179</f>
        <v>56895</v>
      </c>
      <c r="L179" s="266"/>
      <c r="M179" s="266"/>
      <c r="N179" s="266"/>
      <c r="O179" s="266">
        <f t="shared" si="15"/>
        <v>113790</v>
      </c>
      <c r="P179" s="266"/>
    </row>
    <row r="180" spans="1:17" hidden="1">
      <c r="A180" s="29"/>
      <c r="B180" t="s">
        <v>431</v>
      </c>
      <c r="C180" s="266"/>
      <c r="D180" s="266"/>
      <c r="E180" s="266"/>
      <c r="F180" s="266"/>
      <c r="G180" s="266"/>
      <c r="H180" s="266"/>
      <c r="I180" s="266"/>
      <c r="J180" s="266"/>
      <c r="K180" s="266">
        <f>([2]SALES!Z6+[2]SALES!Z12)*50%</f>
        <v>66377.5</v>
      </c>
      <c r="L180" s="266">
        <f>K180</f>
        <v>66377.5</v>
      </c>
      <c r="M180" s="266"/>
      <c r="N180" s="266"/>
      <c r="O180" s="266">
        <f t="shared" si="15"/>
        <v>132755</v>
      </c>
      <c r="P180" s="266"/>
    </row>
    <row r="181" spans="1:17" hidden="1">
      <c r="A181" s="29"/>
      <c r="B181" t="s">
        <v>432</v>
      </c>
      <c r="C181" s="266"/>
      <c r="D181" s="266"/>
      <c r="E181" s="266"/>
      <c r="F181" s="266"/>
      <c r="G181" s="266"/>
      <c r="H181" s="266"/>
      <c r="I181" s="266"/>
      <c r="J181" s="266"/>
      <c r="K181" s="266"/>
      <c r="L181" s="266">
        <f>([2]SALES!AC6+[2]SALES!AC12)*50%</f>
        <v>75860</v>
      </c>
      <c r="M181" s="266">
        <f>L181</f>
        <v>75860</v>
      </c>
      <c r="N181" s="266"/>
      <c r="O181" s="266">
        <f t="shared" si="15"/>
        <v>151720</v>
      </c>
      <c r="P181" s="266"/>
    </row>
    <row r="182" spans="1:17" hidden="1">
      <c r="A182" s="29"/>
      <c r="B182" t="s">
        <v>433</v>
      </c>
      <c r="C182" s="266"/>
      <c r="D182" s="266"/>
      <c r="E182" s="266"/>
      <c r="F182" s="266"/>
      <c r="G182" s="266"/>
      <c r="H182" s="266"/>
      <c r="I182" s="266"/>
      <c r="J182" s="266"/>
      <c r="K182" s="266"/>
      <c r="L182" s="266"/>
      <c r="M182" s="266">
        <f>([2]SALES!AF6+[2]SALES!AF12)*50%</f>
        <v>75860</v>
      </c>
      <c r="N182" s="266">
        <f>M182</f>
        <v>75860</v>
      </c>
      <c r="O182" s="266">
        <f t="shared" si="15"/>
        <v>151720</v>
      </c>
      <c r="P182" s="266"/>
    </row>
    <row r="183" spans="1:17" hidden="1">
      <c r="A183" s="29"/>
      <c r="B183" t="s">
        <v>434</v>
      </c>
      <c r="C183" s="266"/>
      <c r="D183" s="266"/>
      <c r="E183" s="266"/>
      <c r="F183" s="266"/>
      <c r="G183" s="266"/>
      <c r="H183" s="266"/>
      <c r="I183" s="266"/>
      <c r="J183" s="266"/>
      <c r="K183" s="266"/>
      <c r="L183" s="266"/>
      <c r="M183" s="266"/>
      <c r="N183" s="266">
        <f>([2]SALES!AI6+[2]SALES!AI12)*50%</f>
        <v>75860</v>
      </c>
      <c r="O183" s="266">
        <f t="shared" si="15"/>
        <v>75860</v>
      </c>
      <c r="P183" s="266"/>
    </row>
    <row r="184" spans="1:17" hidden="1">
      <c r="A184" s="29"/>
      <c r="B184" t="s">
        <v>435</v>
      </c>
      <c r="C184" s="266"/>
      <c r="D184" s="266"/>
      <c r="E184" s="266"/>
      <c r="F184" s="266"/>
      <c r="G184" s="266"/>
      <c r="H184" s="266"/>
      <c r="I184" s="266"/>
      <c r="J184" s="266"/>
      <c r="K184" s="266"/>
      <c r="L184" s="266"/>
      <c r="M184" s="266"/>
      <c r="N184" s="266"/>
      <c r="O184" s="266">
        <f t="shared" si="15"/>
        <v>0</v>
      </c>
      <c r="P184" s="266"/>
    </row>
    <row r="185" spans="1:17" hidden="1">
      <c r="A185" s="29"/>
      <c r="C185" s="266"/>
      <c r="D185" s="266"/>
      <c r="E185" s="266"/>
      <c r="F185" s="266"/>
      <c r="G185" s="266"/>
      <c r="H185" s="266"/>
      <c r="I185" s="266">
        <v>0</v>
      </c>
      <c r="J185" s="266"/>
      <c r="K185" s="266"/>
      <c r="L185" s="266"/>
      <c r="M185" s="266"/>
      <c r="N185" s="266"/>
      <c r="O185" s="266"/>
      <c r="P185" s="266"/>
    </row>
    <row r="186" spans="1:17" hidden="1">
      <c r="A186" s="29"/>
      <c r="C186" s="266">
        <f t="shared" ref="C186:O186" si="16">SUM(C172:C185)</f>
        <v>211054</v>
      </c>
      <c r="D186" s="266">
        <f t="shared" si="16"/>
        <v>234760.25</v>
      </c>
      <c r="E186" s="266">
        <f t="shared" si="16"/>
        <v>75860</v>
      </c>
      <c r="F186" s="266">
        <f t="shared" si="16"/>
        <v>113790</v>
      </c>
      <c r="G186" s="266">
        <f t="shared" si="16"/>
        <v>128013.75</v>
      </c>
      <c r="H186" s="266">
        <f t="shared" si="16"/>
        <v>137496.25</v>
      </c>
      <c r="I186" s="266">
        <f t="shared" si="16"/>
        <v>142237.5</v>
      </c>
      <c r="J186" s="266">
        <f>SUM(J172:J185)</f>
        <v>128013.75</v>
      </c>
      <c r="K186" s="266">
        <f>SUM(K172:K185)</f>
        <v>123272.5</v>
      </c>
      <c r="L186" s="266">
        <f>SUM(L172:L185)</f>
        <v>142237.5</v>
      </c>
      <c r="M186" s="266">
        <f>SUM(M172:M185)</f>
        <v>151720</v>
      </c>
      <c r="N186" s="266">
        <f>SUM(N172:N185)</f>
        <v>151720</v>
      </c>
      <c r="O186" s="266">
        <f t="shared" si="16"/>
        <v>1740175.5</v>
      </c>
      <c r="P186" s="45">
        <f>SUM(C186:N186)</f>
        <v>1740175.5</v>
      </c>
    </row>
    <row r="187" spans="1:17">
      <c r="A187" s="29"/>
      <c r="C187" s="266"/>
      <c r="D187" s="266"/>
      <c r="E187" s="266"/>
      <c r="F187" s="266"/>
      <c r="G187" s="266"/>
      <c r="H187" s="266"/>
      <c r="I187" s="266"/>
      <c r="J187" s="266"/>
      <c r="K187" s="266"/>
      <c r="L187" s="266"/>
      <c r="M187" s="266"/>
      <c r="N187" s="266"/>
      <c r="O187" s="266"/>
      <c r="P187" s="266"/>
    </row>
    <row r="188" spans="1:17">
      <c r="A188" s="29"/>
      <c r="B188" s="30" t="s">
        <v>436</v>
      </c>
    </row>
    <row r="189" spans="1:17">
      <c r="A189" s="29"/>
      <c r="B189" t="s">
        <v>133</v>
      </c>
      <c r="C189" s="266">
        <f>(COS!O4+COS!O11+COS!O18+COS!O63+COS!O70)*25%</f>
        <v>151503.75</v>
      </c>
      <c r="D189" s="266"/>
      <c r="E189" s="266"/>
      <c r="F189" s="266">
        <f>C189</f>
        <v>151503.75</v>
      </c>
      <c r="G189" s="266"/>
      <c r="H189" s="266"/>
      <c r="I189" s="266">
        <f>F189</f>
        <v>151503.75</v>
      </c>
      <c r="J189" s="266"/>
      <c r="K189" s="266"/>
      <c r="L189" s="266">
        <f>I189</f>
        <v>151503.75</v>
      </c>
      <c r="M189" s="266"/>
      <c r="N189" s="266"/>
      <c r="O189" s="266">
        <f t="shared" ref="O189:O195" si="17">SUM(C189:N189)</f>
        <v>606015</v>
      </c>
      <c r="P189" s="266"/>
      <c r="Q189" s="266"/>
    </row>
    <row r="190" spans="1:17">
      <c r="A190" s="29"/>
      <c r="B190" t="s">
        <v>134</v>
      </c>
      <c r="C190" s="266">
        <f>COS!C5+COS!C12+COS!C19+COS!C32+COS!C38+COS!C64+COS!C71</f>
        <v>4266.5</v>
      </c>
      <c r="D190" s="266">
        <f>COS!D5+COS!D12+COS!D19+COS!D32+COS!D38+COS!D64+COS!D71</f>
        <v>6086.5</v>
      </c>
      <c r="E190" s="266">
        <f>COS!E5+COS!E12+COS!E19+COS!E32+COS!E38+COS!E64+COS!E71</f>
        <v>6888</v>
      </c>
      <c r="F190" s="266">
        <f>COS!F5+COS!F12+COS!F19+COS!F32+COS!F38+COS!F64+COS!F71</f>
        <v>7388</v>
      </c>
      <c r="G190" s="266">
        <f>COS!G5+COS!G12+COS!G19+COS!G32+COS!G38+COS!G64+COS!G71</f>
        <v>7569.5</v>
      </c>
      <c r="H190" s="266">
        <f>COS!H5+COS!H12+COS!H19+COS!H32+COS!H38+COS!H64+COS!H71</f>
        <v>7532</v>
      </c>
      <c r="I190" s="266">
        <f>COS!I5+COS!I12+COS!I19+COS!I32+COS!I38+COS!I64+COS!I71</f>
        <v>5458</v>
      </c>
      <c r="J190" s="266">
        <f>COS!J5+COS!J12+COS!J19+COS!J32+COS!J38+COS!J64+COS!J71</f>
        <v>3964</v>
      </c>
      <c r="K190" s="266">
        <f>COS!K5+COS!K12+COS!K19+COS!K32+COS!K38+COS!K64+COS!K71</f>
        <v>4843</v>
      </c>
      <c r="L190" s="266">
        <f>COS!L5+COS!L12+COS!L19+COS!L32+COS!L38+COS!L64+COS!L71</f>
        <v>7031.5</v>
      </c>
      <c r="M190" s="266">
        <f>COS!M5+COS!M12+COS!M19+COS!M32+COS!M38+COS!M64+COS!M71</f>
        <v>6329</v>
      </c>
      <c r="N190" s="266">
        <f>COS!N5+COS!N12+COS!N19+COS!N32+COS!N38+COS!N64+COS!N71</f>
        <v>4951.5</v>
      </c>
      <c r="O190" s="266">
        <f t="shared" si="17"/>
        <v>72307.5</v>
      </c>
      <c r="P190" s="266"/>
      <c r="Q190" s="266"/>
    </row>
    <row r="191" spans="1:17">
      <c r="A191" s="29"/>
      <c r="B191" t="s">
        <v>437</v>
      </c>
      <c r="C191" s="266">
        <f>'[2]B.S SCHEDULES'!E56</f>
        <v>0</v>
      </c>
      <c r="D191" s="266">
        <f>COS!C6+COS!C13+COS!C20+COS!C33+COS!C39+COS!C65+COS!C72</f>
        <v>4530.5</v>
      </c>
      <c r="E191" s="266">
        <f>COS!D6+COS!D13+COS!D20+COS!D33+COS!D39+COS!D65+COS!D72</f>
        <v>6545.5</v>
      </c>
      <c r="F191" s="266">
        <f>COS!E6+COS!E13+COS!E20+COS!E33+COS!E39+COS!E65+COS!E72</f>
        <v>7686</v>
      </c>
      <c r="G191" s="266">
        <f>COS!F6+COS!F13+COS!F20+COS!F33+COS!F39+COS!F65+COS!F72</f>
        <v>8186</v>
      </c>
      <c r="H191" s="266">
        <f>COS!G6+COS!G13+COS!G20+COS!G33+COS!G39+COS!G65+COS!G72</f>
        <v>8511.5</v>
      </c>
      <c r="I191" s="266">
        <f>COS!H6+COS!H13+COS!H20+COS!H33+COS!H39+COS!H65+COS!H72</f>
        <v>8474</v>
      </c>
      <c r="J191" s="266">
        <f>COS!I6+COS!I13+COS!I20+COS!I33+COS!I39+COS!I65+COS!I72</f>
        <v>6256</v>
      </c>
      <c r="K191" s="266">
        <f>COS!J6+COS!J13+COS!J20+COS!J33+COS!J39+COS!J65+COS!J72</f>
        <v>4543</v>
      </c>
      <c r="L191" s="266">
        <f>COS!K6+COS!K13+COS!K20+COS!K33+COS!K39+COS!K65+COS!K72</f>
        <v>5566</v>
      </c>
      <c r="M191" s="266">
        <f>COS!L6+COS!L13+COS!L20+COS!L33+COS!L39+COS!L65+COS!L72</f>
        <v>7685.5</v>
      </c>
      <c r="N191" s="266">
        <f>COS!M6+COS!M13+COS!M20+COS!M33+COS!M39+COS!M65+COS!M72</f>
        <v>6908</v>
      </c>
      <c r="O191" s="266">
        <f t="shared" si="17"/>
        <v>74892</v>
      </c>
      <c r="P191" s="266"/>
      <c r="Q191" s="266"/>
    </row>
    <row r="192" spans="1:17">
      <c r="A192" s="29"/>
      <c r="B192" t="s">
        <v>136</v>
      </c>
      <c r="C192" s="266">
        <f>'[2]B.S SCHEDULES'!D56</f>
        <v>0</v>
      </c>
      <c r="D192" s="266">
        <f>COS!C7+COS!C14+COS!C21+COS!C34+COS!C40+COS!C66+COS!C73</f>
        <v>18122</v>
      </c>
      <c r="E192" s="266">
        <f>COS!D7+COS!D14+COS!D21+COS!D34+COS!D40+COS!D66+COS!D73</f>
        <v>26182</v>
      </c>
      <c r="F192" s="266">
        <f>COS!E7+COS!E14+COS!E21+COS!E34+COS!E40+COS!E66+COS!E73</f>
        <v>30744</v>
      </c>
      <c r="G192" s="266">
        <f>COS!F7+COS!F14+COS!F21+COS!F34+COS!F40+COS!F66+COS!F73</f>
        <v>32744</v>
      </c>
      <c r="H192" s="266">
        <f>COS!G7+COS!G14+COS!G21+COS!G34+COS!G40+COS!G66+COS!G73</f>
        <v>34046</v>
      </c>
      <c r="I192" s="266">
        <f>COS!H7+COS!H14+COS!H21+COS!H34+COS!H40+COS!H66+COS!H73</f>
        <v>33896</v>
      </c>
      <c r="J192" s="266">
        <f>COS!I7+COS!I14+COS!I21+COS!I34+COS!I40+COS!I66+COS!I73</f>
        <v>25024</v>
      </c>
      <c r="K192" s="266">
        <f>COS!J7+COS!J14+COS!J21+COS!J34+COS!J40+COS!J66+COS!J73</f>
        <v>18172</v>
      </c>
      <c r="L192" s="266">
        <f>COS!K7+COS!K14+COS!K21+COS!K34+COS!K40+COS!K66+COS!K73</f>
        <v>22264</v>
      </c>
      <c r="M192" s="266">
        <f>COS!L7+COS!L14+COS!L21+COS!L34+COS!L40+COS!L66+COS!L73</f>
        <v>30742</v>
      </c>
      <c r="N192" s="266">
        <f>COS!M7+COS!M14+COS!M21+COS!M34+COS!M40+COS!M66+COS!M73</f>
        <v>27632</v>
      </c>
      <c r="O192" s="266">
        <f t="shared" si="17"/>
        <v>299568</v>
      </c>
      <c r="P192" s="266"/>
      <c r="Q192" s="266"/>
    </row>
    <row r="193" spans="1:17">
      <c r="A193" s="29"/>
      <c r="B193" t="s">
        <v>137</v>
      </c>
      <c r="C193" s="266">
        <f>COS!C8+COS!C15+COS!C22+COS!C35+COS!C41+COS!C67+COS!C74</f>
        <v>3801.5</v>
      </c>
      <c r="D193" s="266">
        <f>COS!D8+COS!D15+COS!D22+COS!D35+COS!D41+COS!D67+COS!D74</f>
        <v>5381.5</v>
      </c>
      <c r="E193" s="266">
        <f>COS!E8+COS!E15+COS!E22+COS!E35+COS!E41+COS!E67+COS!E74</f>
        <v>6183</v>
      </c>
      <c r="F193" s="266">
        <f>COS!F8+COS!F15+COS!F22+COS!F35+COS!F41+COS!F67+COS!F74</f>
        <v>6683</v>
      </c>
      <c r="G193" s="266">
        <f>COS!G8+COS!G15+COS!G22+COS!G35+COS!G41+COS!G67+COS!G74</f>
        <v>5571.5</v>
      </c>
      <c r="H193" s="266">
        <f>COS!H8+COS!H15+COS!H22+COS!H35+COS!H41+COS!H67+COS!H74</f>
        <v>6827</v>
      </c>
      <c r="I193" s="266">
        <f>COS!I8+COS!I15+COS!I22+COS!I35+COS!I41+COS!I67+COS!I74</f>
        <v>4978</v>
      </c>
      <c r="J193" s="266">
        <f>COS!J8+COS!J15+COS!J22+COS!J35+COS!J41+COS!J67+COS!J74</f>
        <v>3484</v>
      </c>
      <c r="K193" s="266">
        <f>COS!K8+COS!K15+COS!K22+COS!K35+COS!K41+COS!K67+COS!K74</f>
        <v>4273</v>
      </c>
      <c r="L193" s="266">
        <f>COS!L8+COS!L15+COS!L22+COS!L35+COS!L41+COS!L67+COS!L74</f>
        <v>6326.5</v>
      </c>
      <c r="M193" s="266">
        <f>COS!M8+COS!M15+COS!M22+COS!M35+COS!M41+COS!M67+COS!M74</f>
        <v>5624</v>
      </c>
      <c r="N193" s="266">
        <f>COS!N8+COS!N15+COS!N22+COS!N35+COS!N41+COS!N67+COS!N74</f>
        <v>3271.5</v>
      </c>
      <c r="O193" s="266">
        <f t="shared" si="17"/>
        <v>62404.5</v>
      </c>
      <c r="P193" s="266"/>
      <c r="Q193" s="266"/>
    </row>
    <row r="194" spans="1:17">
      <c r="A194" s="29"/>
      <c r="B194" t="s">
        <v>438</v>
      </c>
      <c r="C194" s="266"/>
      <c r="D194" s="266">
        <f>COS!C52</f>
        <v>656.25</v>
      </c>
      <c r="E194" s="266">
        <f>COS!D52</f>
        <v>1312.5</v>
      </c>
      <c r="F194" s="266">
        <f>COS!E52</f>
        <v>3281.25</v>
      </c>
      <c r="G194" s="266">
        <f>COS!F52</f>
        <v>3281.25</v>
      </c>
      <c r="H194" s="266">
        <f>COS!G52</f>
        <v>3281.25</v>
      </c>
      <c r="I194" s="266">
        <f>COS!H52</f>
        <v>3281.25</v>
      </c>
      <c r="J194" s="266">
        <f>COS!I52</f>
        <v>3281.25</v>
      </c>
      <c r="K194" s="266">
        <f>COS!J52</f>
        <v>0</v>
      </c>
      <c r="L194" s="266">
        <f>COS!K52</f>
        <v>3281.25</v>
      </c>
      <c r="M194" s="266">
        <f>COS!L52</f>
        <v>3281.25</v>
      </c>
      <c r="N194" s="266">
        <f>COS!M52</f>
        <v>1312.5</v>
      </c>
      <c r="O194" s="266">
        <f t="shared" si="17"/>
        <v>26250</v>
      </c>
      <c r="P194" s="266"/>
      <c r="Q194" s="266"/>
    </row>
    <row r="195" spans="1:17">
      <c r="A195" s="29"/>
      <c r="B195" t="s">
        <v>439</v>
      </c>
      <c r="C195" s="266" t="e">
        <f>COS!#REF!</f>
        <v>#REF!</v>
      </c>
      <c r="D195" s="266" t="e">
        <f>COS!#REF!</f>
        <v>#REF!</v>
      </c>
      <c r="E195" s="266" t="e">
        <f>COS!#REF!</f>
        <v>#REF!</v>
      </c>
      <c r="F195" s="266" t="e">
        <f>COS!#REF!</f>
        <v>#REF!</v>
      </c>
      <c r="G195" s="266" t="e">
        <f>COS!#REF!</f>
        <v>#REF!</v>
      </c>
      <c r="H195" s="266" t="e">
        <f>COS!#REF!</f>
        <v>#REF!</v>
      </c>
      <c r="I195" s="266" t="e">
        <f>COS!#REF!</f>
        <v>#REF!</v>
      </c>
      <c r="J195" s="266" t="e">
        <f>COS!#REF!</f>
        <v>#REF!</v>
      </c>
      <c r="K195" s="266" t="e">
        <f>COS!#REF!</f>
        <v>#REF!</v>
      </c>
      <c r="L195" s="266" t="e">
        <f>COS!#REF!</f>
        <v>#REF!</v>
      </c>
      <c r="M195" s="266" t="e">
        <f>COS!#REF!</f>
        <v>#REF!</v>
      </c>
      <c r="N195" s="266" t="e">
        <f>COS!#REF!</f>
        <v>#REF!</v>
      </c>
      <c r="O195" s="266" t="e">
        <f t="shared" si="17"/>
        <v>#REF!</v>
      </c>
      <c r="P195" s="266"/>
      <c r="Q195" s="266"/>
    </row>
    <row r="196" spans="1:17">
      <c r="A196" s="29"/>
      <c r="C196" s="266"/>
      <c r="D196" s="266"/>
      <c r="E196" s="266"/>
      <c r="F196" s="266"/>
      <c r="G196" s="266"/>
      <c r="H196" s="266"/>
      <c r="I196" s="266"/>
      <c r="J196" s="266"/>
      <c r="K196" s="266"/>
      <c r="L196" s="266"/>
      <c r="M196" s="266"/>
      <c r="N196" s="266"/>
      <c r="O196" s="266"/>
      <c r="P196" s="266"/>
      <c r="Q196" s="266"/>
    </row>
    <row r="197" spans="1:17">
      <c r="A197" s="29"/>
      <c r="C197" s="266" t="e">
        <f>SUM(C189:C196)</f>
        <v>#REF!</v>
      </c>
      <c r="D197" s="266" t="e">
        <f t="shared" ref="D197:O197" si="18">SUM(D189:D196)</f>
        <v>#REF!</v>
      </c>
      <c r="E197" s="266" t="e">
        <f t="shared" si="18"/>
        <v>#REF!</v>
      </c>
      <c r="F197" s="266" t="e">
        <f t="shared" si="18"/>
        <v>#REF!</v>
      </c>
      <c r="G197" s="266" t="e">
        <f t="shared" si="18"/>
        <v>#REF!</v>
      </c>
      <c r="H197" s="266" t="e">
        <f t="shared" si="18"/>
        <v>#REF!</v>
      </c>
      <c r="I197" s="266" t="e">
        <f t="shared" si="18"/>
        <v>#REF!</v>
      </c>
      <c r="J197" s="266" t="e">
        <f t="shared" si="18"/>
        <v>#REF!</v>
      </c>
      <c r="K197" s="266" t="e">
        <f t="shared" si="18"/>
        <v>#REF!</v>
      </c>
      <c r="L197" s="266" t="e">
        <f t="shared" si="18"/>
        <v>#REF!</v>
      </c>
      <c r="M197" s="266" t="e">
        <f t="shared" si="18"/>
        <v>#REF!</v>
      </c>
      <c r="N197" s="266" t="e">
        <f t="shared" si="18"/>
        <v>#REF!</v>
      </c>
      <c r="O197" s="266" t="e">
        <f t="shared" si="18"/>
        <v>#REF!</v>
      </c>
      <c r="P197" s="266" t="e">
        <f>SUM(C197:N197)</f>
        <v>#REF!</v>
      </c>
      <c r="Q197" s="266"/>
    </row>
    <row r="198" spans="1:17">
      <c r="A198" s="29"/>
      <c r="C198" s="266"/>
      <c r="D198" s="266"/>
      <c r="E198" s="266"/>
      <c r="F198" s="266"/>
      <c r="G198" s="266"/>
      <c r="H198" s="266"/>
      <c r="I198" s="266"/>
      <c r="J198" s="266"/>
      <c r="K198" s="266"/>
      <c r="L198" s="266"/>
      <c r="M198" s="266"/>
      <c r="N198" s="266"/>
      <c r="O198" s="266"/>
      <c r="P198" s="266"/>
      <c r="Q198" s="266"/>
    </row>
    <row r="199" spans="1:17">
      <c r="C199" s="266"/>
      <c r="D199" s="266"/>
      <c r="E199" s="266"/>
      <c r="F199" s="266"/>
      <c r="G199" s="266"/>
      <c r="H199" s="266"/>
      <c r="I199" s="266"/>
      <c r="J199" s="266"/>
      <c r="K199" s="266"/>
      <c r="L199" s="266"/>
      <c r="M199" s="266"/>
      <c r="N199" s="266"/>
      <c r="O199" s="266"/>
      <c r="P199" s="266"/>
      <c r="Q199" s="266"/>
    </row>
    <row r="200" spans="1:17">
      <c r="B200" s="30" t="s">
        <v>440</v>
      </c>
    </row>
    <row r="201" spans="1:17">
      <c r="B201" s="278" t="s">
        <v>443</v>
      </c>
    </row>
    <row r="202" spans="1:17">
      <c r="B202" t="s">
        <v>441</v>
      </c>
      <c r="C202" s="266">
        <f>+SALES!E5</f>
        <v>25500</v>
      </c>
      <c r="D202" s="266">
        <f>+SALES!H5</f>
        <v>27625</v>
      </c>
      <c r="E202" s="266">
        <f>+SALES!K5</f>
        <v>27625</v>
      </c>
      <c r="F202" s="266">
        <f>+SALES!N5</f>
        <v>27625</v>
      </c>
      <c r="G202" s="266">
        <f>+SALES!Q5</f>
        <v>27625</v>
      </c>
      <c r="H202" s="266">
        <f>+SALES!T5</f>
        <v>27625</v>
      </c>
      <c r="I202" s="266">
        <f>+SALES!W5</f>
        <v>21250</v>
      </c>
      <c r="J202" s="266">
        <f>+SALES!Z5</f>
        <v>21250</v>
      </c>
      <c r="K202" s="266">
        <f>+SALES!AC5</f>
        <v>27625</v>
      </c>
      <c r="L202" s="266">
        <f>+SALES!AF5</f>
        <v>27625</v>
      </c>
      <c r="M202" s="266">
        <f>+SALES!AI5</f>
        <v>21250</v>
      </c>
      <c r="N202" s="266">
        <f>+SALES!AL5</f>
        <v>21250</v>
      </c>
      <c r="O202" s="45">
        <f t="shared" ref="O202:O212" si="19">SUM(C202:N202)</f>
        <v>303875</v>
      </c>
    </row>
    <row r="203" spans="1:17">
      <c r="B203" t="s">
        <v>685</v>
      </c>
      <c r="C203" s="266">
        <f>+SALES!E9</f>
        <v>16250</v>
      </c>
      <c r="D203" s="266">
        <f>+SALES!H9</f>
        <v>32500</v>
      </c>
      <c r="E203" s="266">
        <f>+SALES!K9</f>
        <v>32500</v>
      </c>
      <c r="F203" s="266">
        <f>+SALES!N9</f>
        <v>32500</v>
      </c>
      <c r="G203" s="266">
        <f>+SALES!Q9</f>
        <v>32500</v>
      </c>
      <c r="H203" s="266">
        <f>+SALES!T9</f>
        <v>32500</v>
      </c>
      <c r="I203" s="266">
        <f>+SALES!W9</f>
        <v>16250</v>
      </c>
      <c r="J203" s="266">
        <f>+SALES!Z9</f>
        <v>16250</v>
      </c>
      <c r="K203" s="266">
        <f>+SALES!AC9</f>
        <v>16250</v>
      </c>
      <c r="L203" s="266">
        <f>+SALES!AF9</f>
        <v>32500</v>
      </c>
      <c r="M203" s="266">
        <f>+SALES!AI9</f>
        <v>32500</v>
      </c>
      <c r="N203" s="266">
        <f>+SALES!AL9</f>
        <v>32500</v>
      </c>
      <c r="O203" s="45">
        <f t="shared" si="19"/>
        <v>325000</v>
      </c>
    </row>
    <row r="204" spans="1:17">
      <c r="B204" t="s">
        <v>4</v>
      </c>
      <c r="C204" s="266">
        <f>+SALES!E14</f>
        <v>31875</v>
      </c>
      <c r="D204" s="266">
        <f>+SALES!H14</f>
        <v>38250</v>
      </c>
      <c r="E204" s="266">
        <f>+SALES!K14</f>
        <v>48875</v>
      </c>
      <c r="F204" s="266">
        <f>+SALES!N14</f>
        <v>48875</v>
      </c>
      <c r="G204" s="266">
        <f>+SALES!Q14</f>
        <v>38250</v>
      </c>
      <c r="H204" s="266">
        <f>+SALES!T14</f>
        <v>48875</v>
      </c>
      <c r="I204" s="266">
        <f>+SALES!W14</f>
        <v>21250</v>
      </c>
      <c r="J204" s="266">
        <f>+SALES!Z14</f>
        <v>21250</v>
      </c>
      <c r="K204" s="266">
        <f>+SALES!AC14</f>
        <v>27625</v>
      </c>
      <c r="L204" s="266">
        <f>+SALES!AF14</f>
        <v>38250</v>
      </c>
      <c r="M204" s="266">
        <f>+SALES!AI14</f>
        <v>38250</v>
      </c>
      <c r="N204" s="266">
        <f>+SALES!AL14</f>
        <v>31875</v>
      </c>
      <c r="O204" s="45">
        <f t="shared" si="19"/>
        <v>433500</v>
      </c>
    </row>
    <row r="205" spans="1:17">
      <c r="B205" t="s">
        <v>127</v>
      </c>
      <c r="C205" s="266">
        <f>+SALES!E19+SALES!E22</f>
        <v>18600</v>
      </c>
      <c r="D205" s="266">
        <f>+SALES!H19+SALES!F22</f>
        <v>3605</v>
      </c>
      <c r="E205" s="266">
        <f>+SALES!K19+SALES!K22</f>
        <v>18600</v>
      </c>
      <c r="F205" s="266">
        <f>+SALES!N19+SALES!N22</f>
        <v>18600</v>
      </c>
      <c r="G205" s="266">
        <f>+SALES!Q19+SALES!I22</f>
        <v>3605</v>
      </c>
      <c r="H205" s="266">
        <f>+SALES!T19+SALES!T22</f>
        <v>18600</v>
      </c>
      <c r="I205" s="266">
        <f>+SALES!W19+SALES!W22</f>
        <v>0</v>
      </c>
      <c r="J205" s="266">
        <f>+SALES!Z19+SALES!Z22</f>
        <v>0</v>
      </c>
      <c r="K205" s="266">
        <f>+SALES!AC19+SALES!AC22</f>
        <v>9000</v>
      </c>
      <c r="L205" s="266">
        <f>+SALES!AF19+SALES!AF22</f>
        <v>18600</v>
      </c>
      <c r="M205" s="266">
        <f>+SALES!AI19+SALES!AI22</f>
        <v>18600</v>
      </c>
      <c r="N205" s="266">
        <f>+SALES!AL19+SALES!AL22</f>
        <v>18600</v>
      </c>
      <c r="O205" s="45"/>
    </row>
    <row r="206" spans="1:17">
      <c r="B206" t="s">
        <v>713</v>
      </c>
      <c r="C206" s="266">
        <f>+SALES!E32+SALES!E35</f>
        <v>15275</v>
      </c>
      <c r="D206" s="266">
        <f>+SALES!H32+SALES!F35</f>
        <v>21600</v>
      </c>
      <c r="E206" s="266">
        <f>+SALES!K32+SALES!K35</f>
        <v>40375</v>
      </c>
      <c r="F206" s="266">
        <f>+SALES!N32+SALES!N35</f>
        <v>49375</v>
      </c>
      <c r="G206" s="266">
        <f>+SALES!I32+SALES!Q35</f>
        <v>4375</v>
      </c>
      <c r="H206" s="266">
        <f>+SALES!T32+SALES!T35</f>
        <v>49375</v>
      </c>
      <c r="I206" s="266">
        <f>+SALES!W32+SALES!W35</f>
        <v>49375</v>
      </c>
      <c r="J206" s="266">
        <f>+SALES!Z32+SALES!Z35</f>
        <v>36000</v>
      </c>
      <c r="K206" s="266">
        <f>+SALES!AC32+SALES!AC35</f>
        <v>40375</v>
      </c>
      <c r="L206" s="266">
        <f>+SALES!AF32+SALES!AF35</f>
        <v>49375</v>
      </c>
      <c r="M206" s="266">
        <f>+SALES!AI32+SALES!AI35</f>
        <v>37750</v>
      </c>
      <c r="N206" s="266">
        <f>+SALES!AL32+SALES!AL35</f>
        <v>27875</v>
      </c>
      <c r="O206" s="45">
        <f t="shared" si="19"/>
        <v>421125</v>
      </c>
    </row>
    <row r="207" spans="1:17">
      <c r="C207" s="266"/>
      <c r="D207" s="266"/>
      <c r="E207" s="266"/>
      <c r="F207" s="266"/>
      <c r="G207" s="266"/>
      <c r="H207" s="266"/>
      <c r="I207" s="266"/>
      <c r="J207" s="266"/>
      <c r="K207" s="266"/>
      <c r="L207" s="266"/>
      <c r="M207" s="266"/>
      <c r="N207" s="266"/>
      <c r="O207" s="45">
        <f t="shared" si="19"/>
        <v>0</v>
      </c>
    </row>
    <row r="208" spans="1:17">
      <c r="B208" s="278" t="s">
        <v>444</v>
      </c>
      <c r="C208" s="266"/>
      <c r="D208" s="266"/>
      <c r="E208" s="266"/>
      <c r="F208" s="266"/>
      <c r="G208" s="266"/>
      <c r="H208" s="266"/>
      <c r="I208" s="266"/>
      <c r="J208" s="266"/>
      <c r="K208" s="266"/>
      <c r="L208" s="266"/>
      <c r="M208" s="266"/>
      <c r="N208" s="266"/>
      <c r="O208" s="45">
        <f t="shared" si="19"/>
        <v>0</v>
      </c>
    </row>
    <row r="209" spans="1:25">
      <c r="B209" t="s">
        <v>716</v>
      </c>
      <c r="C209" s="266">
        <f>(+SALES!E45+SALES!E46)*40/100</f>
        <v>10560</v>
      </c>
      <c r="D209" s="266">
        <f>(+SALES!H45+SALES!H46)*40/100</f>
        <v>15360</v>
      </c>
      <c r="E209" s="266">
        <f>(+SALES!K45+SALES!K46)*40/100</f>
        <v>25920</v>
      </c>
      <c r="F209" s="266">
        <f>(+SALES!N45+SALES!N46)*40/100</f>
        <v>25920</v>
      </c>
      <c r="G209" s="266">
        <f>(+SALES!Q45+SALES!Q46)*40/100</f>
        <v>31680</v>
      </c>
      <c r="H209" s="266">
        <f>(+SALES!T45+SALES!T46)*40/100</f>
        <v>31680</v>
      </c>
      <c r="I209" s="266">
        <f>(+SALES!W45+SALES!W46)*40/100</f>
        <v>25920</v>
      </c>
      <c r="J209" s="266">
        <f>(+SALES!Z45+SALES!Z46)*40/100</f>
        <v>20160</v>
      </c>
      <c r="K209" s="266">
        <f>(+SALES!AC45+SALES!AC46)*40/100</f>
        <v>25920</v>
      </c>
      <c r="L209" s="266">
        <f>(+SALES!AF45+SALES!AF46)*40/100</f>
        <v>20160</v>
      </c>
      <c r="M209" s="266">
        <f>(+SALES!AI45+SALES!AI46)*40/100</f>
        <v>20160</v>
      </c>
      <c r="N209" s="266">
        <f>(+SALES!AL45+SALES!AL46)*40/100</f>
        <v>20160</v>
      </c>
      <c r="O209" s="45">
        <f t="shared" si="19"/>
        <v>273600</v>
      </c>
    </row>
    <row r="210" spans="1:25">
      <c r="B210" t="s">
        <v>717</v>
      </c>
      <c r="C210" s="266">
        <f>+SALES!E49*40/100</f>
        <v>9600</v>
      </c>
      <c r="D210" s="266">
        <f>+SALES!H49*40/100</f>
        <v>19200</v>
      </c>
      <c r="E210" s="266">
        <f>+SALES!K49*40/100</f>
        <v>19200</v>
      </c>
      <c r="F210" s="266">
        <f>+SALES!N49*40/100</f>
        <v>19200</v>
      </c>
      <c r="G210" s="266">
        <f>+SALES!Q49*40/100</f>
        <v>19200</v>
      </c>
      <c r="H210" s="266">
        <f>+SALES!T49*40/100</f>
        <v>19200</v>
      </c>
      <c r="I210" s="266">
        <f>+SALES!W49*40/100</f>
        <v>19200</v>
      </c>
      <c r="J210" s="266">
        <f>+SALES!Z49*40/100</f>
        <v>19200</v>
      </c>
      <c r="K210" s="266">
        <f>+SALES!AC49*40/100</f>
        <v>19200</v>
      </c>
      <c r="L210" s="266">
        <f>+SALES!AF49*40/100</f>
        <v>19200</v>
      </c>
      <c r="M210" s="266">
        <f>+SALES!AI49*40/100</f>
        <v>19200</v>
      </c>
      <c r="N210" s="266">
        <f>+SALES!AL49*40/100</f>
        <v>19200</v>
      </c>
      <c r="O210" s="45">
        <f t="shared" si="19"/>
        <v>220800</v>
      </c>
    </row>
    <row r="211" spans="1:25">
      <c r="O211" s="45">
        <f t="shared" si="19"/>
        <v>0</v>
      </c>
    </row>
    <row r="212" spans="1:25">
      <c r="O212" s="45">
        <f t="shared" si="19"/>
        <v>0</v>
      </c>
    </row>
    <row r="213" spans="1:25" s="280" customFormat="1" ht="13.5" thickBot="1">
      <c r="C213" s="297">
        <f>SUM(C202:C211)</f>
        <v>127660</v>
      </c>
      <c r="D213" s="297">
        <f t="shared" ref="D213:O213" si="20">SUM(D202:D211)</f>
        <v>158140</v>
      </c>
      <c r="E213" s="297">
        <f t="shared" si="20"/>
        <v>213095</v>
      </c>
      <c r="F213" s="297">
        <f t="shared" si="20"/>
        <v>222095</v>
      </c>
      <c r="G213" s="297">
        <f t="shared" si="20"/>
        <v>157235</v>
      </c>
      <c r="H213" s="297">
        <f t="shared" si="20"/>
        <v>227855</v>
      </c>
      <c r="I213" s="297">
        <f t="shared" si="20"/>
        <v>153245</v>
      </c>
      <c r="J213" s="297">
        <f t="shared" si="20"/>
        <v>134110</v>
      </c>
      <c r="K213" s="297">
        <f t="shared" si="20"/>
        <v>165995</v>
      </c>
      <c r="L213" s="297">
        <f t="shared" si="20"/>
        <v>205710</v>
      </c>
      <c r="M213" s="297">
        <f t="shared" si="20"/>
        <v>187710</v>
      </c>
      <c r="N213" s="297">
        <f t="shared" si="20"/>
        <v>171460</v>
      </c>
      <c r="O213" s="297">
        <f t="shared" si="20"/>
        <v>1977900</v>
      </c>
      <c r="P213" s="297">
        <f>SUM(C213:N213)</f>
        <v>2124310</v>
      </c>
    </row>
    <row r="214" spans="1:25" ht="13.5" thickTop="1"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</row>
    <row r="215" spans="1:25">
      <c r="A215" s="29"/>
      <c r="B215" s="32" t="s">
        <v>423</v>
      </c>
    </row>
    <row r="216" spans="1:25">
      <c r="A216" s="29"/>
      <c r="B216" t="s">
        <v>448</v>
      </c>
      <c r="C216" s="298">
        <v>211054</v>
      </c>
      <c r="D216" s="298">
        <v>211054</v>
      </c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>
        <f>SUM(C216:N216)</f>
        <v>422108</v>
      </c>
      <c r="P216" s="298"/>
      <c r="Q216" s="163"/>
      <c r="R216" s="163"/>
      <c r="S216" s="163"/>
      <c r="T216" s="163"/>
      <c r="U216" s="163"/>
      <c r="V216" s="163"/>
      <c r="W216" s="163"/>
      <c r="X216" s="163"/>
      <c r="Y216" s="163"/>
    </row>
    <row r="217" spans="1:25">
      <c r="A217" s="29"/>
      <c r="B217" t="s">
        <v>424</v>
      </c>
      <c r="C217" s="298">
        <f>(+SALES!E6+SALES!E10+SALES!E15+SALES!E25+SALES!E28+SALES!E41+SALES!E53)*50/100</f>
        <v>49750</v>
      </c>
      <c r="D217" s="298">
        <f>(+SALES!E6+SALES!E10+SALES!E15+SALES!E25+SALES!E28+SALES!E41+SALES!E53)*50/100</f>
        <v>49750</v>
      </c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>
        <f t="shared" ref="O217:O228" si="21">SUM(C217:N217)</f>
        <v>99500</v>
      </c>
      <c r="P217" s="298"/>
      <c r="Q217" s="163"/>
      <c r="R217" s="163"/>
      <c r="S217" s="163"/>
      <c r="T217" s="163"/>
      <c r="U217" s="163"/>
      <c r="V217" s="163"/>
      <c r="W217" s="163"/>
      <c r="X217" s="163"/>
      <c r="Y217" s="163"/>
    </row>
    <row r="218" spans="1:25">
      <c r="A218" s="29"/>
      <c r="B218" t="s">
        <v>425</v>
      </c>
      <c r="C218" s="298"/>
      <c r="D218" s="298">
        <f>(+SALES!H7+SALES!H11+SALES!H16+SALES!H26+SALES!H29+SALES!H42+SALES!H54)*50/100</f>
        <v>64062.5</v>
      </c>
      <c r="E218" s="298">
        <f>(+SALES!H7+SALES!H11+SALES!H16+SALES!H26+SALES!H29+SALES!H42+SALES!H54)*50/100</f>
        <v>64062.5</v>
      </c>
      <c r="F218" s="298"/>
      <c r="G218" s="298"/>
      <c r="H218" s="298"/>
      <c r="I218" s="298"/>
      <c r="J218" s="298"/>
      <c r="K218" s="298"/>
      <c r="L218" s="298"/>
      <c r="M218" s="298"/>
      <c r="N218" s="298"/>
      <c r="O218" s="298">
        <f t="shared" si="21"/>
        <v>128125</v>
      </c>
      <c r="P218" s="298"/>
      <c r="Q218" s="163"/>
      <c r="R218" s="163"/>
      <c r="S218" s="163"/>
      <c r="T218" s="163"/>
      <c r="U218" s="163"/>
      <c r="V218" s="163"/>
      <c r="W218" s="163"/>
      <c r="X218" s="163"/>
      <c r="Y218" s="163"/>
    </row>
    <row r="219" spans="1:25">
      <c r="A219" s="29"/>
      <c r="B219" t="s">
        <v>426</v>
      </c>
      <c r="C219" s="298"/>
      <c r="D219" s="298"/>
      <c r="E219" s="298" t="e">
        <f>(+SALES!#REF!+SALES!K12+SALES!K17+SALES!#REF!+SALES!#REF!+SALES!#REF!+SALES!#REF!)*50/100</f>
        <v>#REF!</v>
      </c>
      <c r="F219" s="298" t="e">
        <f>(+SALES!#REF!+SALES!K12+SALES!K17+SALES!#REF!+SALES!#REF!+SALES!#REF!+SALES!#REF!)*50/100</f>
        <v>#REF!</v>
      </c>
      <c r="G219" s="298"/>
      <c r="H219" s="298"/>
      <c r="I219" s="298"/>
      <c r="J219" s="298"/>
      <c r="K219" s="298"/>
      <c r="L219" s="298"/>
      <c r="M219" s="298"/>
      <c r="N219" s="298"/>
      <c r="O219" s="298" t="e">
        <f t="shared" si="21"/>
        <v>#REF!</v>
      </c>
      <c r="P219" s="298"/>
      <c r="Q219" s="163"/>
      <c r="R219" s="163"/>
      <c r="S219" s="163"/>
      <c r="T219" s="163"/>
      <c r="U219" s="163"/>
      <c r="V219" s="163"/>
      <c r="W219" s="163"/>
      <c r="X219" s="163"/>
      <c r="Y219" s="163"/>
    </row>
    <row r="220" spans="1:25">
      <c r="A220" s="29"/>
      <c r="B220" t="s">
        <v>427</v>
      </c>
      <c r="C220" s="298"/>
      <c r="D220" s="298"/>
      <c r="E220" s="298"/>
      <c r="F220" s="298" t="e">
        <f>(+SALES!N8+SALES!#REF!+SALES!#REF!+SALES!N27+SALES!N30+SALES!N43+SALES!N55)*50/100</f>
        <v>#REF!</v>
      </c>
      <c r="G220" s="298" t="e">
        <f>(+SALES!N8+SALES!#REF!+SALES!#REF!+SALES!N27+SALES!N30+SALES!N43+SALES!N55)*50/100</f>
        <v>#REF!</v>
      </c>
      <c r="H220" s="298"/>
      <c r="I220" s="298"/>
      <c r="J220" s="298"/>
      <c r="K220" s="298"/>
      <c r="L220" s="298"/>
      <c r="M220" s="298"/>
      <c r="N220" s="298"/>
      <c r="O220" s="298" t="e">
        <f t="shared" si="21"/>
        <v>#REF!</v>
      </c>
      <c r="P220" s="298"/>
      <c r="Q220" s="163"/>
      <c r="R220" s="163"/>
      <c r="S220" s="163"/>
      <c r="T220" s="163"/>
      <c r="U220" s="163"/>
      <c r="V220" s="163"/>
      <c r="W220" s="163"/>
      <c r="X220" s="163"/>
      <c r="Y220" s="163"/>
    </row>
    <row r="221" spans="1:25">
      <c r="A221" s="29"/>
      <c r="B221" t="s">
        <v>428</v>
      </c>
      <c r="C221" s="298"/>
      <c r="D221" s="298"/>
      <c r="E221" s="298"/>
      <c r="F221" s="298"/>
      <c r="G221" s="298" t="e">
        <f>(+SALES!Q9+SALES!Q13+SALES!#REF!+SALES!Q28+SALES!Q31+SALES!#REF!+SALES!Q56)*50/100</f>
        <v>#REF!</v>
      </c>
      <c r="H221" s="298" t="e">
        <f>(+SALES!Q9+SALES!Q13+SALES!#REF!+SALES!Q28+SALES!Q31+SALES!#REF!+SALES!Q56)*50/100</f>
        <v>#REF!</v>
      </c>
      <c r="I221" s="298"/>
      <c r="J221" s="298"/>
      <c r="K221" s="298"/>
      <c r="L221" s="298"/>
      <c r="M221" s="298"/>
      <c r="N221" s="298"/>
      <c r="O221" s="298" t="e">
        <f t="shared" si="21"/>
        <v>#REF!</v>
      </c>
      <c r="P221" s="298"/>
      <c r="Q221" s="163"/>
      <c r="R221" s="163"/>
      <c r="S221" s="163"/>
      <c r="T221" s="163"/>
      <c r="U221" s="163"/>
      <c r="V221" s="163"/>
      <c r="W221" s="163"/>
      <c r="X221" s="163"/>
      <c r="Y221" s="163"/>
    </row>
    <row r="222" spans="1:25">
      <c r="A222" s="29"/>
      <c r="B222" t="s">
        <v>429</v>
      </c>
      <c r="C222" s="298"/>
      <c r="D222" s="298"/>
      <c r="E222" s="298"/>
      <c r="F222" s="298"/>
      <c r="G222" s="298"/>
      <c r="H222" s="298">
        <f>(+SALES!T10+SALES!T14+SALES!T18+SALES!T29+SALES!T32+SALES!T44+SALES!T57)*50/100</f>
        <v>79437.5</v>
      </c>
      <c r="I222" s="298">
        <f>(+SALES!T10+SALES!T14+SALES!T18+SALES!T29+SALES!T32+SALES!T44+SALES!T57)*50/100</f>
        <v>79437.5</v>
      </c>
      <c r="J222" s="298"/>
      <c r="K222" s="298"/>
      <c r="L222" s="298"/>
      <c r="M222" s="298"/>
      <c r="N222" s="298"/>
      <c r="O222" s="298">
        <f t="shared" si="21"/>
        <v>158875</v>
      </c>
      <c r="P222" s="298"/>
      <c r="Q222" s="163"/>
      <c r="R222" s="163"/>
      <c r="S222" s="163"/>
      <c r="T222" s="163"/>
      <c r="U222" s="163"/>
      <c r="V222" s="163"/>
      <c r="W222" s="163"/>
      <c r="X222" s="163"/>
      <c r="Y222" s="163"/>
    </row>
    <row r="223" spans="1:25">
      <c r="A223" s="29"/>
      <c r="B223" t="s">
        <v>430</v>
      </c>
      <c r="C223" s="298"/>
      <c r="D223" s="298"/>
      <c r="E223" s="298"/>
      <c r="F223" s="298"/>
      <c r="G223" s="298"/>
      <c r="H223" s="298"/>
      <c r="I223" s="298" t="e">
        <f>(+SALES!W11+SALES!W15+SALES!W19+SALES!#REF!+SALES!#REF!+SALES!W45+SALES!W58)*50/100</f>
        <v>#REF!</v>
      </c>
      <c r="J223" s="298" t="e">
        <f>(+SALES!U11+SALES!W15+SALES!W19+SALES!#REF!+SALES!#REF!+SALES!W45+SALES!W58)*50/100</f>
        <v>#REF!</v>
      </c>
      <c r="K223" s="298"/>
      <c r="L223" s="298"/>
      <c r="M223" s="298"/>
      <c r="N223" s="298"/>
      <c r="O223" s="298" t="e">
        <f t="shared" si="21"/>
        <v>#REF!</v>
      </c>
      <c r="P223" s="298"/>
      <c r="Q223" s="163"/>
      <c r="R223" s="163"/>
      <c r="S223" s="163"/>
      <c r="T223" s="163"/>
      <c r="U223" s="163"/>
      <c r="V223" s="163"/>
      <c r="W223" s="163"/>
      <c r="X223" s="163"/>
      <c r="Y223" s="163"/>
    </row>
    <row r="224" spans="1:25">
      <c r="A224" s="29"/>
      <c r="B224" t="s">
        <v>431</v>
      </c>
      <c r="C224" s="298"/>
      <c r="D224" s="298"/>
      <c r="E224" s="298"/>
      <c r="F224" s="298"/>
      <c r="G224" s="298"/>
      <c r="H224" s="298"/>
      <c r="I224" s="298"/>
      <c r="J224" s="298">
        <f>(+SALES!Z12+SALES!Z16+SALES!Z20+SALES!Z30+SALES!Z33+SALES!Z46+SALES!Z59)*50/100</f>
        <v>15325</v>
      </c>
      <c r="K224" s="298">
        <f>(+SALES!Z12+SALES!Z16+SALES!Z20+SALES!Z30+SALES!Z33+SALES!Z46+SALES!Z59)*50/100</f>
        <v>15325</v>
      </c>
      <c r="L224" s="298"/>
      <c r="M224" s="298"/>
      <c r="N224" s="298"/>
      <c r="O224" s="298">
        <f t="shared" si="21"/>
        <v>30650</v>
      </c>
      <c r="P224" s="298"/>
      <c r="Q224" s="163"/>
      <c r="R224" s="163"/>
      <c r="S224" s="163"/>
      <c r="T224" s="163"/>
      <c r="U224" s="163"/>
      <c r="V224" s="163"/>
      <c r="W224" s="163"/>
      <c r="X224" s="163"/>
      <c r="Y224" s="163"/>
    </row>
    <row r="225" spans="1:25">
      <c r="A225" s="29"/>
      <c r="B225" t="s">
        <v>432</v>
      </c>
      <c r="C225" s="298"/>
      <c r="D225" s="298"/>
      <c r="E225" s="298"/>
      <c r="F225" s="298"/>
      <c r="G225" s="298"/>
      <c r="H225" s="298"/>
      <c r="I225" s="298"/>
      <c r="J225" s="298"/>
      <c r="K225" s="298" t="e">
        <f>(+SALES!#REF!+SALES!AC17+SALES!#REF!+SALES!AC31+SALES!AC34+SALES!AC47+SALES!AC60)*50/100</f>
        <v>#REF!</v>
      </c>
      <c r="L225" s="298" t="e">
        <f>(+SALES!#REF!+SALES!AC17+SALES!#REF!+SALES!AC31+SALES!AC34+SALES!AC47+SALES!AC60)*50/100</f>
        <v>#REF!</v>
      </c>
      <c r="M225" s="298"/>
      <c r="N225" s="298"/>
      <c r="O225" s="298" t="e">
        <f t="shared" si="21"/>
        <v>#REF!</v>
      </c>
      <c r="P225" s="298"/>
      <c r="Q225" s="163"/>
      <c r="R225" s="163"/>
      <c r="S225" s="163"/>
      <c r="T225" s="163"/>
      <c r="U225" s="163"/>
      <c r="V225" s="163"/>
      <c r="W225" s="163"/>
      <c r="X225" s="163"/>
      <c r="Y225" s="163"/>
    </row>
    <row r="226" spans="1:25">
      <c r="A226" s="29"/>
      <c r="B226" t="s">
        <v>433</v>
      </c>
      <c r="C226" s="298"/>
      <c r="D226" s="298"/>
      <c r="E226" s="298"/>
      <c r="F226" s="298"/>
      <c r="G226" s="298"/>
      <c r="H226" s="298"/>
      <c r="I226" s="298"/>
      <c r="J226" s="298"/>
      <c r="K226" s="298"/>
      <c r="L226" s="298" t="e">
        <f>(+SALES!AF13+SALES!#REF!+SALES!AF21+SALES!AF32+SALES!AF35+SALES!#REF!+SALES!AF61)*50/100</f>
        <v>#REF!</v>
      </c>
      <c r="M226" s="298" t="e">
        <f>(+SALES!AF13+SALES!#REF!+SALES!AF21+SALES!AF32+SALES!AF35+SALES!#REF!+SALES!AF61)*50/100</f>
        <v>#REF!</v>
      </c>
      <c r="N226" s="298"/>
      <c r="O226" s="298" t="e">
        <f t="shared" si="21"/>
        <v>#REF!</v>
      </c>
      <c r="P226" s="298"/>
      <c r="Q226" s="163"/>
      <c r="R226" s="163"/>
      <c r="S226" s="163"/>
      <c r="T226" s="163"/>
      <c r="U226" s="163"/>
      <c r="V226" s="163"/>
      <c r="W226" s="163"/>
      <c r="X226" s="163"/>
      <c r="Y226" s="163"/>
    </row>
    <row r="227" spans="1:25">
      <c r="A227" s="29"/>
      <c r="B227" t="s">
        <v>434</v>
      </c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 t="e">
        <f>(+SALES!AI14+SALES!#REF!+SALES!AI22+SALES!#REF!+SALES!#REF!+SALES!AI48+SALES!AI62)*50/100</f>
        <v>#REF!</v>
      </c>
      <c r="N227" s="298" t="e">
        <f>(+SALES!AI14+SALES!#REF!+SALES!AI22+SALES!#REF!+SALES!#REF!+SALES!AI48+SALES!AI62)*50/100</f>
        <v>#REF!</v>
      </c>
      <c r="O227" s="298" t="e">
        <f t="shared" si="21"/>
        <v>#REF!</v>
      </c>
      <c r="P227" s="298"/>
      <c r="Q227" s="163"/>
      <c r="R227" s="163"/>
      <c r="S227" s="163"/>
      <c r="T227" s="163"/>
      <c r="U227" s="163"/>
      <c r="V227" s="163"/>
      <c r="W227" s="163"/>
      <c r="X227" s="163"/>
      <c r="Y227" s="163"/>
    </row>
    <row r="228" spans="1:25">
      <c r="A228" s="29"/>
      <c r="B228" t="s">
        <v>435</v>
      </c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>
        <f>(+SALES!AL15+SALES!AL18+SALES!AL23+SALES!AL33+SALES!AL36+SALES!AL49+SALES!AL63)*50/100</f>
        <v>141550</v>
      </c>
      <c r="O228" s="298">
        <f t="shared" si="21"/>
        <v>141550</v>
      </c>
      <c r="P228" s="298"/>
      <c r="Q228" s="163"/>
      <c r="R228" s="163"/>
      <c r="S228" s="163"/>
      <c r="T228" s="163"/>
      <c r="U228" s="163"/>
      <c r="V228" s="163"/>
      <c r="W228" s="163"/>
      <c r="X228" s="163"/>
      <c r="Y228" s="163"/>
    </row>
    <row r="229" spans="1:25">
      <c r="A229" s="29"/>
      <c r="C229" s="298"/>
      <c r="D229" s="298"/>
      <c r="E229" s="298"/>
      <c r="F229" s="298"/>
      <c r="G229" s="298"/>
      <c r="H229" s="298"/>
      <c r="I229" s="298">
        <v>0</v>
      </c>
      <c r="J229" s="298"/>
      <c r="K229" s="298"/>
      <c r="L229" s="298"/>
      <c r="M229" s="298"/>
      <c r="N229" s="298"/>
      <c r="O229" s="298"/>
      <c r="P229" s="298"/>
      <c r="Q229" s="163"/>
      <c r="R229" s="163"/>
      <c r="S229" s="163"/>
      <c r="T229" s="163"/>
      <c r="U229" s="163"/>
      <c r="V229" s="163"/>
      <c r="W229" s="163"/>
      <c r="X229" s="163"/>
      <c r="Y229" s="163"/>
    </row>
    <row r="230" spans="1:25" s="280" customFormat="1" ht="13.5" thickBot="1">
      <c r="A230" s="296"/>
      <c r="B230" s="280" t="s">
        <v>535</v>
      </c>
      <c r="C230" s="299">
        <f t="shared" ref="C230:O230" si="22">SUM(C216:C229)</f>
        <v>260804</v>
      </c>
      <c r="D230" s="299">
        <f t="shared" si="22"/>
        <v>324866.5</v>
      </c>
      <c r="E230" s="299" t="e">
        <f t="shared" si="22"/>
        <v>#REF!</v>
      </c>
      <c r="F230" s="299" t="e">
        <f t="shared" si="22"/>
        <v>#REF!</v>
      </c>
      <c r="G230" s="299" t="e">
        <f t="shared" si="22"/>
        <v>#REF!</v>
      </c>
      <c r="H230" s="299" t="e">
        <f t="shared" si="22"/>
        <v>#REF!</v>
      </c>
      <c r="I230" s="299" t="e">
        <f t="shared" si="22"/>
        <v>#REF!</v>
      </c>
      <c r="J230" s="299" t="e">
        <f t="shared" si="22"/>
        <v>#REF!</v>
      </c>
      <c r="K230" s="299" t="e">
        <f t="shared" si="22"/>
        <v>#REF!</v>
      </c>
      <c r="L230" s="299" t="e">
        <f t="shared" si="22"/>
        <v>#REF!</v>
      </c>
      <c r="M230" s="299" t="e">
        <f t="shared" si="22"/>
        <v>#REF!</v>
      </c>
      <c r="N230" s="299" t="e">
        <f t="shared" si="22"/>
        <v>#REF!</v>
      </c>
      <c r="O230" s="299" t="e">
        <f t="shared" si="22"/>
        <v>#REF!</v>
      </c>
      <c r="P230" s="300" t="e">
        <f>SUM(C230:N230)</f>
        <v>#REF!</v>
      </c>
      <c r="Q230" s="300"/>
      <c r="R230" s="300"/>
      <c r="S230" s="300"/>
      <c r="T230" s="300"/>
      <c r="U230" s="300"/>
      <c r="V230" s="300"/>
      <c r="W230" s="300"/>
      <c r="X230" s="300"/>
      <c r="Y230" s="300"/>
    </row>
    <row r="231" spans="1:25" ht="13.5" thickTop="1"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</row>
    <row r="232" spans="1:25">
      <c r="B232" s="278" t="s">
        <v>443</v>
      </c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</row>
    <row r="233" spans="1:25">
      <c r="C233" s="163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</row>
    <row r="234" spans="1:25">
      <c r="C234" s="163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</row>
    <row r="235" spans="1:25" s="280" customFormat="1" ht="13.5" thickBot="1">
      <c r="B235" s="280" t="s">
        <v>535</v>
      </c>
      <c r="C235" s="301">
        <f>SUM(C233:C234)</f>
        <v>0</v>
      </c>
      <c r="D235" s="301">
        <f t="shared" ref="D235:O235" si="23">SUM(D233:D234)</f>
        <v>0</v>
      </c>
      <c r="E235" s="301">
        <f t="shared" si="23"/>
        <v>0</v>
      </c>
      <c r="F235" s="301">
        <f t="shared" si="23"/>
        <v>0</v>
      </c>
      <c r="G235" s="301">
        <f t="shared" si="23"/>
        <v>0</v>
      </c>
      <c r="H235" s="301">
        <f t="shared" si="23"/>
        <v>0</v>
      </c>
      <c r="I235" s="301">
        <f t="shared" si="23"/>
        <v>0</v>
      </c>
      <c r="J235" s="301">
        <f t="shared" si="23"/>
        <v>0</v>
      </c>
      <c r="K235" s="301">
        <f t="shared" si="23"/>
        <v>0</v>
      </c>
      <c r="L235" s="301">
        <f t="shared" si="23"/>
        <v>0</v>
      </c>
      <c r="M235" s="301">
        <f t="shared" si="23"/>
        <v>0</v>
      </c>
      <c r="N235" s="301">
        <f t="shared" si="23"/>
        <v>0</v>
      </c>
      <c r="O235" s="301">
        <f t="shared" si="23"/>
        <v>0</v>
      </c>
      <c r="P235" s="300">
        <f>SUM(C235:N235)</f>
        <v>0</v>
      </c>
      <c r="Q235" s="300"/>
      <c r="R235" s="300"/>
      <c r="S235" s="300"/>
      <c r="T235" s="300"/>
      <c r="U235" s="300"/>
      <c r="V235" s="300"/>
      <c r="W235" s="300"/>
      <c r="X235" s="300"/>
      <c r="Y235" s="300"/>
    </row>
    <row r="236" spans="1:25" ht="13.5" thickTop="1"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</row>
    <row r="237" spans="1:25">
      <c r="B237" s="278" t="s">
        <v>714</v>
      </c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>
        <f t="shared" ref="O237:O249" si="24">SUM(C237:N237)</f>
        <v>0</v>
      </c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</row>
    <row r="238" spans="1:25">
      <c r="B238" s="63" t="s">
        <v>715</v>
      </c>
      <c r="C238" s="163"/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>
        <f t="shared" si="24"/>
        <v>0</v>
      </c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</row>
    <row r="239" spans="1:25">
      <c r="B239" t="s">
        <v>451</v>
      </c>
      <c r="C239" s="163"/>
      <c r="D239" s="163">
        <f>(+SALES!E45+SALES!E46+SALES!E49)*33/100</f>
        <v>16632</v>
      </c>
      <c r="E239" s="163">
        <f>(+SALES!E45+SALES!E46+SALES!E49)*27/100</f>
        <v>13608</v>
      </c>
      <c r="F239" s="163"/>
      <c r="G239" s="163"/>
      <c r="H239" s="163"/>
      <c r="I239" s="163"/>
      <c r="J239" s="163"/>
      <c r="K239" s="163"/>
      <c r="L239" s="163"/>
      <c r="M239" s="163"/>
      <c r="N239" s="163"/>
      <c r="O239" s="163">
        <f t="shared" si="24"/>
        <v>30240</v>
      </c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</row>
    <row r="240" spans="1:25">
      <c r="B240" t="s">
        <v>450</v>
      </c>
      <c r="C240" s="163"/>
      <c r="D240" s="163"/>
      <c r="E240" s="163">
        <f>(+SALES!H46+SALES!H47+SALES!H50)*33/100</f>
        <v>35739</v>
      </c>
      <c r="F240" s="163">
        <f>(+SALES!H46+SALES!H47+SALES!H50)*27/100</f>
        <v>29241</v>
      </c>
      <c r="G240" s="163"/>
      <c r="H240" s="163"/>
      <c r="I240" s="163"/>
      <c r="J240" s="163"/>
      <c r="K240" s="163"/>
      <c r="L240" s="163"/>
      <c r="M240" s="163"/>
      <c r="N240" s="163"/>
      <c r="O240" s="163">
        <f t="shared" si="24"/>
        <v>64980</v>
      </c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</row>
    <row r="241" spans="2:25">
      <c r="B241" t="s">
        <v>452</v>
      </c>
      <c r="C241" s="163"/>
      <c r="D241" s="163"/>
      <c r="E241" s="163"/>
      <c r="F241" s="163" t="e">
        <f>(+SALES!K47+SALES!#REF!+SALES!#REF!)*33/100</f>
        <v>#REF!</v>
      </c>
      <c r="G241" s="163" t="e">
        <f>(+SALES!K47+SALES!#REF!+SALES!#REF!)*27/100</f>
        <v>#REF!</v>
      </c>
      <c r="H241" s="163"/>
      <c r="I241" s="163"/>
      <c r="J241" s="163"/>
      <c r="K241" s="163"/>
      <c r="L241" s="163"/>
      <c r="M241" s="163"/>
      <c r="N241" s="163"/>
      <c r="O241" s="163" t="e">
        <f t="shared" si="24"/>
        <v>#REF!</v>
      </c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</row>
    <row r="242" spans="2:25">
      <c r="B242" t="s">
        <v>453</v>
      </c>
      <c r="C242" s="163"/>
      <c r="D242" s="163"/>
      <c r="E242" s="163"/>
      <c r="F242" s="163"/>
      <c r="G242" s="163" t="e">
        <f>(+SALES!#REF!+SALES!N48+SALES!N51)*33/100</f>
        <v>#REF!</v>
      </c>
      <c r="H242" s="163" t="e">
        <f>(+SALES!#REF!+SALES!N48+SALES!N51)*27/100</f>
        <v>#REF!</v>
      </c>
      <c r="I242" s="163"/>
      <c r="J242" s="163"/>
      <c r="K242" s="163"/>
      <c r="L242" s="163"/>
      <c r="M242" s="163"/>
      <c r="N242" s="163"/>
      <c r="O242" s="163" t="e">
        <f t="shared" si="24"/>
        <v>#REF!</v>
      </c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</row>
    <row r="243" spans="2:25">
      <c r="B243" t="s">
        <v>454</v>
      </c>
      <c r="C243" s="163"/>
      <c r="D243" s="163"/>
      <c r="E243" s="163"/>
      <c r="F243" s="163"/>
      <c r="G243" s="163"/>
      <c r="H243" s="163" t="e">
        <f>(+SALES!Q48+SALES!Q49+SALES!#REF!)*33/100</f>
        <v>#REF!</v>
      </c>
      <c r="I243" s="163" t="e">
        <f>(+SALES!Q48+SALES!Q49+SALES!#REF!)*27/100</f>
        <v>#REF!</v>
      </c>
      <c r="J243" s="163"/>
      <c r="K243" s="163"/>
      <c r="L243" s="163"/>
      <c r="M243" s="163"/>
      <c r="N243" s="163"/>
      <c r="O243" s="163" t="e">
        <f t="shared" si="24"/>
        <v>#REF!</v>
      </c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</row>
    <row r="244" spans="2:25">
      <c r="B244" t="s">
        <v>455</v>
      </c>
      <c r="C244" s="163"/>
      <c r="D244" s="163"/>
      <c r="E244" s="163"/>
      <c r="F244" s="163"/>
      <c r="G244" s="163"/>
      <c r="H244" s="163"/>
      <c r="I244" s="163">
        <f>(+SALES!T49+SALES!T50+SALES!T52)*33/100</f>
        <v>31680</v>
      </c>
      <c r="J244" s="163">
        <f>(+SALES!T49+SALES!T50+SALES!T52)*27/100</f>
        <v>25920</v>
      </c>
      <c r="K244" s="163"/>
      <c r="L244" s="163"/>
      <c r="M244" s="163"/>
      <c r="N244" s="163"/>
      <c r="O244" s="163">
        <f t="shared" si="24"/>
        <v>57600</v>
      </c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</row>
    <row r="245" spans="2:25">
      <c r="B245" t="s">
        <v>456</v>
      </c>
      <c r="C245" s="163"/>
      <c r="D245" s="163"/>
      <c r="E245" s="163"/>
      <c r="F245" s="163"/>
      <c r="G245" s="163"/>
      <c r="H245" s="163"/>
      <c r="I245" s="163"/>
      <c r="J245" s="163" t="e">
        <f>(+SALES!W50+SALES!#REF!+SALES!W53)*33/100</f>
        <v>#REF!</v>
      </c>
      <c r="K245" s="163" t="e">
        <f>(+SALES!W50+SALES!#REF!+SALES!W53)*27/100</f>
        <v>#REF!</v>
      </c>
      <c r="L245" s="163"/>
      <c r="M245" s="163"/>
      <c r="N245" s="163"/>
      <c r="O245" s="163" t="e">
        <f t="shared" si="24"/>
        <v>#REF!</v>
      </c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</row>
    <row r="246" spans="2:25">
      <c r="B246" t="s">
        <v>457</v>
      </c>
      <c r="C246" s="163"/>
      <c r="D246" s="163"/>
      <c r="E246" s="163"/>
      <c r="F246" s="163"/>
      <c r="G246" s="163"/>
      <c r="H246" s="163"/>
      <c r="I246" s="163"/>
      <c r="J246" s="163"/>
      <c r="K246" s="163" t="e">
        <f>(+SALES!#REF!+SALES!Z51+SALES!Z54)*33/100</f>
        <v>#REF!</v>
      </c>
      <c r="L246" s="163" t="e">
        <f>(+SALES!#REF!+SALES!Z51+SALES!Z54)*27/100</f>
        <v>#REF!</v>
      </c>
      <c r="M246" s="163"/>
      <c r="N246" s="163"/>
      <c r="O246" s="163" t="e">
        <f t="shared" si="24"/>
        <v>#REF!</v>
      </c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</row>
    <row r="247" spans="2:25">
      <c r="B247" t="s">
        <v>458</v>
      </c>
      <c r="C247" s="163"/>
      <c r="D247" s="163"/>
      <c r="E247" s="163"/>
      <c r="F247" s="163"/>
      <c r="G247" s="163"/>
      <c r="H247" s="163"/>
      <c r="I247" s="163"/>
      <c r="J247" s="163"/>
      <c r="K247" s="163"/>
      <c r="L247" s="163" t="e">
        <f>(+SALES!AC51+SALES!#REF!+SALES!#REF!)*33/100</f>
        <v>#REF!</v>
      </c>
      <c r="M247" s="163" t="e">
        <f>(+SALES!AC51+SALES!#REF!+SALES!#REF!)*27/100</f>
        <v>#REF!</v>
      </c>
      <c r="N247" s="163"/>
      <c r="O247" s="163" t="e">
        <f t="shared" si="24"/>
        <v>#REF!</v>
      </c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</row>
    <row r="248" spans="2:25">
      <c r="B248" t="s">
        <v>459</v>
      </c>
      <c r="C248" s="163"/>
      <c r="D248" s="163"/>
      <c r="E248" s="163"/>
      <c r="F248" s="163"/>
      <c r="G248" s="163"/>
      <c r="H248" s="163"/>
      <c r="I248" s="163"/>
      <c r="J248" s="163"/>
      <c r="K248" s="163"/>
      <c r="L248" s="163"/>
      <c r="M248" s="163" t="e">
        <f>(+SALES!#REF!+SALES!AF52+SALES!AF55)*33/100</f>
        <v>#REF!</v>
      </c>
      <c r="N248" s="163" t="e">
        <f>(+SALES!#REF!+SALES!AI52+SALES!AI55)*27/100</f>
        <v>#REF!</v>
      </c>
      <c r="O248" s="163" t="e">
        <f t="shared" si="24"/>
        <v>#REF!</v>
      </c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</row>
    <row r="249" spans="2:25">
      <c r="B249" t="s">
        <v>460</v>
      </c>
      <c r="C249" s="163"/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>
        <f t="shared" si="24"/>
        <v>0</v>
      </c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</row>
    <row r="250" spans="2:25">
      <c r="B250" t="s">
        <v>461</v>
      </c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</row>
    <row r="251" spans="2:25" s="280" customFormat="1" ht="13.5" thickBot="1">
      <c r="B251" s="280" t="s">
        <v>535</v>
      </c>
      <c r="C251" s="300">
        <f>SUM(C238:C250)</f>
        <v>0</v>
      </c>
      <c r="D251" s="300">
        <f t="shared" ref="D251:O251" si="25">SUM(D238:D250)</f>
        <v>16632</v>
      </c>
      <c r="E251" s="300">
        <f t="shared" si="25"/>
        <v>49347</v>
      </c>
      <c r="F251" s="300" t="e">
        <f t="shared" si="25"/>
        <v>#REF!</v>
      </c>
      <c r="G251" s="300" t="e">
        <f t="shared" si="25"/>
        <v>#REF!</v>
      </c>
      <c r="H251" s="300" t="e">
        <f t="shared" si="25"/>
        <v>#REF!</v>
      </c>
      <c r="I251" s="300" t="e">
        <f t="shared" si="25"/>
        <v>#REF!</v>
      </c>
      <c r="J251" s="300" t="e">
        <f t="shared" si="25"/>
        <v>#REF!</v>
      </c>
      <c r="K251" s="300" t="e">
        <f t="shared" si="25"/>
        <v>#REF!</v>
      </c>
      <c r="L251" s="300" t="e">
        <f t="shared" si="25"/>
        <v>#REF!</v>
      </c>
      <c r="M251" s="300" t="e">
        <f t="shared" si="25"/>
        <v>#REF!</v>
      </c>
      <c r="N251" s="300" t="e">
        <f t="shared" si="25"/>
        <v>#REF!</v>
      </c>
      <c r="O251" s="300" t="e">
        <f t="shared" si="25"/>
        <v>#REF!</v>
      </c>
      <c r="P251" s="300" t="e">
        <f>SUM(C251:N251)</f>
        <v>#REF!</v>
      </c>
      <c r="Q251" s="300"/>
      <c r="R251" s="300"/>
      <c r="S251" s="300"/>
      <c r="T251" s="300"/>
      <c r="U251" s="300"/>
      <c r="V251" s="300"/>
      <c r="W251" s="300"/>
      <c r="X251" s="300"/>
      <c r="Y251" s="300"/>
    </row>
    <row r="252" spans="2:25" ht="13.5" thickTop="1">
      <c r="C252" s="163"/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</row>
    <row r="253" spans="2:25">
      <c r="B253" s="295"/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</row>
    <row r="254" spans="2:25">
      <c r="C254" s="163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</row>
    <row r="255" spans="2:25">
      <c r="C255" s="163"/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3"/>
      <c r="O255" s="298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</row>
    <row r="256" spans="2:25"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298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</row>
    <row r="257" spans="2:25">
      <c r="C257" s="163"/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298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</row>
    <row r="258" spans="2:25">
      <c r="C258" s="163"/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</row>
    <row r="259" spans="2:25" s="280" customFormat="1" ht="13.5" thickBot="1">
      <c r="C259" s="300"/>
      <c r="D259" s="300"/>
      <c r="E259" s="300"/>
      <c r="F259" s="300"/>
      <c r="G259" s="300"/>
      <c r="H259" s="300"/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</row>
    <row r="260" spans="2:25" ht="13.5" thickTop="1">
      <c r="C260" s="163"/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</row>
    <row r="261" spans="2:25">
      <c r="C261" s="163"/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</row>
    <row r="262" spans="2:25">
      <c r="B262" t="s">
        <v>125</v>
      </c>
      <c r="C262" s="163">
        <f>C230+C235+C251+C259</f>
        <v>260804</v>
      </c>
      <c r="D262" s="163">
        <f t="shared" ref="D262:O262" si="26">D230+D235+D251+D259</f>
        <v>341498.5</v>
      </c>
      <c r="E262" s="163" t="e">
        <f t="shared" si="26"/>
        <v>#REF!</v>
      </c>
      <c r="F262" s="163" t="e">
        <f t="shared" si="26"/>
        <v>#REF!</v>
      </c>
      <c r="G262" s="163" t="e">
        <f t="shared" si="26"/>
        <v>#REF!</v>
      </c>
      <c r="H262" s="163" t="e">
        <f t="shared" si="26"/>
        <v>#REF!</v>
      </c>
      <c r="I262" s="163" t="e">
        <f t="shared" si="26"/>
        <v>#REF!</v>
      </c>
      <c r="J262" s="163" t="e">
        <f t="shared" si="26"/>
        <v>#REF!</v>
      </c>
      <c r="K262" s="163" t="e">
        <f t="shared" si="26"/>
        <v>#REF!</v>
      </c>
      <c r="L262" s="163" t="e">
        <f t="shared" si="26"/>
        <v>#REF!</v>
      </c>
      <c r="M262" s="163" t="e">
        <f t="shared" si="26"/>
        <v>#REF!</v>
      </c>
      <c r="N262" s="163" t="e">
        <f t="shared" si="26"/>
        <v>#REF!</v>
      </c>
      <c r="O262" s="163" t="e">
        <f t="shared" si="26"/>
        <v>#REF!</v>
      </c>
      <c r="P262" s="163" t="e">
        <f>SUM(C262:N262)</f>
        <v>#REF!</v>
      </c>
      <c r="Q262" s="163" t="e">
        <f>SUM(P216:P260)</f>
        <v>#REF!</v>
      </c>
      <c r="R262" s="163"/>
      <c r="S262" s="163"/>
      <c r="T262" s="163"/>
      <c r="U262" s="163"/>
      <c r="V262" s="163"/>
      <c r="W262" s="163"/>
      <c r="X262" s="163"/>
      <c r="Y262" s="163"/>
    </row>
    <row r="263" spans="2:25">
      <c r="C263" s="163"/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</row>
    <row r="264" spans="2:25">
      <c r="C264" s="163"/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</row>
    <row r="265" spans="2:25">
      <c r="C265" s="163"/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</row>
    <row r="266" spans="2:25">
      <c r="C266" s="163"/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</row>
    <row r="267" spans="2:25">
      <c r="C267" s="163"/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</row>
    <row r="268" spans="2:25"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</row>
    <row r="269" spans="2:25"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</row>
    <row r="270" spans="2:25"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</row>
    <row r="271" spans="2:25">
      <c r="C271" s="163"/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</row>
    <row r="272" spans="2:25">
      <c r="C272" s="163"/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</row>
    <row r="273" spans="3:25">
      <c r="C273" s="163"/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</row>
    <row r="274" spans="3:25"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</row>
    <row r="275" spans="3:25">
      <c r="C275" s="163"/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</row>
    <row r="276" spans="3:25"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</row>
    <row r="277" spans="3:25"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</row>
    <row r="278" spans="3:25">
      <c r="C278" s="163"/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</row>
    <row r="279" spans="3:25">
      <c r="C279" s="163"/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</row>
    <row r="280" spans="3:25"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</row>
    <row r="281" spans="3:25">
      <c r="C281" s="163"/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</row>
    <row r="282" spans="3:25">
      <c r="C282" s="163"/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</row>
    <row r="283" spans="3:25">
      <c r="C283" s="163"/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</row>
    <row r="284" spans="3:25">
      <c r="C284" s="163"/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</row>
    <row r="285" spans="3:25">
      <c r="C285" s="163"/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</row>
    <row r="286" spans="3:25"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</row>
    <row r="287" spans="3:25"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</row>
    <row r="288" spans="3:25">
      <c r="C288" s="163"/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</row>
    <row r="289" spans="3:25">
      <c r="C289" s="163"/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</row>
    <row r="290" spans="3:25"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</row>
    <row r="291" spans="3:25"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</row>
    <row r="292" spans="3:25"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</row>
    <row r="293" spans="3:25">
      <c r="C293" s="163"/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</row>
    <row r="294" spans="3:25">
      <c r="C294" s="163"/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</row>
    <row r="295" spans="3:25">
      <c r="C295" s="163"/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</row>
    <row r="296" spans="3:25">
      <c r="C296" s="163"/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</row>
    <row r="297" spans="3:25">
      <c r="C297" s="163"/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</row>
    <row r="298" spans="3:25">
      <c r="C298" s="163"/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</row>
    <row r="299" spans="3:25">
      <c r="C299" s="163"/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</row>
    <row r="300" spans="3:25">
      <c r="C300" s="163"/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</row>
    <row r="301" spans="3:25">
      <c r="C301" s="163"/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</row>
    <row r="302" spans="3:25">
      <c r="C302" s="163"/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</row>
    <row r="303" spans="3:25">
      <c r="C303" s="163"/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</row>
    <row r="304" spans="3:25">
      <c r="C304" s="163"/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</row>
    <row r="305" spans="3:25"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</row>
    <row r="306" spans="3:25">
      <c r="C306" s="163"/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</row>
    <row r="307" spans="3:25">
      <c r="C307" s="163"/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</row>
    <row r="308" spans="3:25">
      <c r="C308" s="163"/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</row>
    <row r="309" spans="3:25">
      <c r="C309" s="163"/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</row>
    <row r="310" spans="3:25">
      <c r="C310" s="163"/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</row>
    <row r="311" spans="3:25">
      <c r="C311" s="163"/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</row>
    <row r="312" spans="3:25">
      <c r="C312" s="163"/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</row>
    <row r="313" spans="3:25">
      <c r="C313" s="163"/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</row>
    <row r="314" spans="3:25">
      <c r="C314" s="163"/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</row>
    <row r="315" spans="3:25"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</row>
    <row r="316" spans="3:25">
      <c r="C316" s="163"/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</row>
    <row r="317" spans="3:25">
      <c r="C317" s="163"/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</row>
    <row r="318" spans="3:25">
      <c r="C318" s="163"/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</row>
    <row r="319" spans="3:25">
      <c r="C319" s="163"/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</row>
    <row r="320" spans="3:25">
      <c r="C320" s="163"/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</row>
    <row r="321" spans="3:25">
      <c r="C321" s="163"/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</row>
    <row r="322" spans="3:25"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</row>
    <row r="323" spans="3:25">
      <c r="C323" s="163"/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</row>
    <row r="324" spans="3:25">
      <c r="C324" s="163"/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</row>
    <row r="325" spans="3:25">
      <c r="C325" s="163"/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</row>
    <row r="326" spans="3:25">
      <c r="C326" s="163"/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</row>
    <row r="327" spans="3:25">
      <c r="C327" s="163"/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</row>
    <row r="328" spans="3:25">
      <c r="C328" s="163"/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</row>
    <row r="329" spans="3:25">
      <c r="C329" s="163"/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</row>
    <row r="330" spans="3:25">
      <c r="C330" s="163"/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</row>
    <row r="331" spans="3:25">
      <c r="C331" s="163"/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</row>
    <row r="332" spans="3:25">
      <c r="C332" s="163"/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</row>
    <row r="333" spans="3:25">
      <c r="C333" s="163"/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</row>
    <row r="334" spans="3:25">
      <c r="C334" s="163"/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</row>
    <row r="335" spans="3:25">
      <c r="C335" s="163"/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</row>
    <row r="336" spans="3:25"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</row>
    <row r="337" spans="3:25">
      <c r="C337" s="163"/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</row>
    <row r="338" spans="3:25">
      <c r="C338" s="163"/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</row>
    <row r="339" spans="3:25">
      <c r="C339" s="163"/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</row>
    <row r="340" spans="3:25"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</row>
    <row r="341" spans="3:25">
      <c r="C341" s="163"/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</row>
    <row r="342" spans="3:25">
      <c r="C342" s="163"/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</row>
    <row r="343" spans="3:25">
      <c r="C343" s="163"/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</row>
    <row r="344" spans="3:25">
      <c r="C344" s="163"/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</row>
    <row r="345" spans="3:25">
      <c r="C345" s="163"/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</row>
    <row r="346" spans="3:25">
      <c r="C346" s="163"/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</row>
    <row r="347" spans="3:25"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</row>
    <row r="348" spans="3:25">
      <c r="C348" s="163"/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</row>
    <row r="349" spans="3:25">
      <c r="C349" s="163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</row>
    <row r="350" spans="3:25">
      <c r="C350" s="163"/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</row>
    <row r="351" spans="3:25">
      <c r="C351" s="163"/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</row>
    <row r="352" spans="3:25">
      <c r="C352" s="163"/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</row>
    <row r="353" spans="3:25">
      <c r="C353" s="163"/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</row>
    <row r="354" spans="3:25">
      <c r="C354" s="163"/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</row>
    <row r="355" spans="3:25">
      <c r="C355" s="163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</row>
    <row r="356" spans="3:25">
      <c r="C356" s="163"/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</row>
    <row r="357" spans="3:25">
      <c r="C357" s="163"/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</row>
    <row r="358" spans="3:25"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</row>
    <row r="359" spans="3:25"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</row>
    <row r="360" spans="3:25"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</row>
    <row r="361" spans="3:25"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</row>
    <row r="362" spans="3:25"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</row>
    <row r="363" spans="3:25"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</row>
    <row r="364" spans="3:25"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</row>
    <row r="365" spans="3:25"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</row>
    <row r="366" spans="3:25"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</row>
    <row r="367" spans="3:25"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</row>
    <row r="368" spans="3:25"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</row>
    <row r="369" spans="3:25"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</row>
    <row r="370" spans="3:25"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</row>
    <row r="371" spans="3:25"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</row>
    <row r="372" spans="3:25"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</row>
    <row r="373" spans="3:25"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</row>
    <row r="374" spans="3:25"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</row>
    <row r="375" spans="3:25"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</row>
    <row r="376" spans="3:25"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</row>
    <row r="377" spans="3:25"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</row>
    <row r="378" spans="3:25"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</row>
    <row r="379" spans="3:25"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</row>
    <row r="380" spans="3:25"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</row>
    <row r="381" spans="3:25"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</row>
    <row r="382" spans="3:25"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</row>
    <row r="383" spans="3:25"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</row>
    <row r="384" spans="3:25"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</row>
    <row r="385" spans="3:25"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</row>
    <row r="386" spans="3:25"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</row>
    <row r="387" spans="3:25"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</row>
    <row r="388" spans="3:25"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</row>
    <row r="389" spans="3:25"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</row>
    <row r="390" spans="3:25"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</row>
    <row r="391" spans="3:25"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</row>
    <row r="392" spans="3:25"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</row>
    <row r="393" spans="3:25"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</row>
    <row r="394" spans="3:25"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</row>
    <row r="395" spans="3:25"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</row>
    <row r="396" spans="3:25"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</row>
    <row r="397" spans="3:25"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</row>
    <row r="398" spans="3:25"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</row>
    <row r="399" spans="3:25"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</row>
    <row r="400" spans="3:25"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</row>
    <row r="401" spans="3:25"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</row>
    <row r="402" spans="3:25"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</row>
    <row r="403" spans="3:25"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</row>
    <row r="404" spans="3:25"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</row>
    <row r="405" spans="3:25"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</row>
    <row r="406" spans="3:25"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</row>
    <row r="407" spans="3:25"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</row>
    <row r="408" spans="3:25"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</row>
    <row r="409" spans="3:25"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</row>
    <row r="410" spans="3:25"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</row>
    <row r="411" spans="3:25"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</row>
    <row r="412" spans="3:25"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</row>
    <row r="413" spans="3:25"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</row>
    <row r="414" spans="3:25"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</row>
    <row r="415" spans="3:25"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</row>
    <row r="416" spans="3:25"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</row>
    <row r="417" spans="3:25"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</row>
    <row r="418" spans="3:25"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</row>
    <row r="419" spans="3:25"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</row>
    <row r="420" spans="3:25"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</row>
    <row r="421" spans="3:25"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</row>
    <row r="422" spans="3:25"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</row>
    <row r="423" spans="3:25"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</row>
    <row r="424" spans="3:25"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</row>
    <row r="425" spans="3:25"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</row>
    <row r="426" spans="3:25"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</row>
    <row r="427" spans="3:25"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</row>
    <row r="428" spans="3:25"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</row>
    <row r="429" spans="3:25"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</row>
    <row r="430" spans="3:25"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</row>
    <row r="431" spans="3:25"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</row>
    <row r="432" spans="3:25"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</row>
    <row r="433" spans="3:25"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</row>
    <row r="434" spans="3:25"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</row>
    <row r="435" spans="3:25"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</row>
    <row r="436" spans="3:25"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</row>
    <row r="437" spans="3:25"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</row>
    <row r="438" spans="3:25"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</row>
    <row r="439" spans="3:25"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</row>
    <row r="440" spans="3:25"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</row>
    <row r="441" spans="3:25"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</row>
    <row r="442" spans="3:25"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</row>
    <row r="443" spans="3:25"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</row>
    <row r="444" spans="3:25"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</row>
    <row r="445" spans="3:25"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</row>
    <row r="446" spans="3:25"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</row>
    <row r="447" spans="3:25"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</row>
    <row r="448" spans="3:25"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</row>
    <row r="449" spans="3:25"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</row>
    <row r="450" spans="3:25"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</row>
    <row r="451" spans="3:25"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</row>
    <row r="452" spans="3:25"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</row>
    <row r="453" spans="3:25"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</row>
    <row r="454" spans="3:25"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</row>
    <row r="455" spans="3:25"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</row>
    <row r="456" spans="3:25"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</row>
    <row r="457" spans="3:25"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</row>
    <row r="458" spans="3:25"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</row>
    <row r="459" spans="3:25"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</row>
    <row r="460" spans="3:25"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</row>
    <row r="461" spans="3:25"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</row>
    <row r="462" spans="3:25"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</row>
    <row r="463" spans="3:25"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</row>
    <row r="464" spans="3:25"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</row>
    <row r="465" spans="3:25"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</row>
    <row r="466" spans="3:25"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</row>
    <row r="467" spans="3:25"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</row>
    <row r="468" spans="3:25"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</row>
    <row r="469" spans="3:25"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</row>
    <row r="470" spans="3:25"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</row>
    <row r="471" spans="3:25"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</row>
    <row r="472" spans="3:25"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</row>
    <row r="473" spans="3:25"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</row>
    <row r="474" spans="3:25"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</row>
    <row r="475" spans="3:25">
      <c r="C475" s="163"/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</row>
    <row r="476" spans="3:25">
      <c r="C476" s="163"/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</row>
    <row r="477" spans="3:25">
      <c r="C477" s="163"/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</row>
    <row r="478" spans="3:25">
      <c r="C478" s="163"/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</row>
    <row r="479" spans="3:25"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</row>
    <row r="480" spans="3:25">
      <c r="C480" s="163"/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</row>
    <row r="481" spans="3:25">
      <c r="C481" s="163"/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</row>
    <row r="482" spans="3:25">
      <c r="C482" s="163"/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</row>
    <row r="483" spans="3:25">
      <c r="C483" s="163"/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</row>
    <row r="484" spans="3:25"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</row>
    <row r="485" spans="3:25"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</row>
    <row r="486" spans="3:25">
      <c r="C486" s="163"/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</row>
    <row r="487" spans="3:25"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</row>
    <row r="488" spans="3:25"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</row>
    <row r="489" spans="3:25"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</row>
    <row r="490" spans="3:25"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</row>
    <row r="491" spans="3:25"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</row>
    <row r="492" spans="3:25"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</row>
    <row r="493" spans="3:25"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</row>
    <row r="494" spans="3:25"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</row>
    <row r="495" spans="3:25"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</row>
    <row r="496" spans="3:25">
      <c r="C496" s="163"/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</row>
    <row r="497" spans="3:25">
      <c r="C497" s="163"/>
      <c r="D497" s="163"/>
      <c r="E497" s="163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</row>
    <row r="498" spans="3:25">
      <c r="C498" s="163"/>
      <c r="D498" s="163"/>
      <c r="E498" s="163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</row>
    <row r="499" spans="3:25"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</row>
    <row r="500" spans="3:25"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</row>
    <row r="501" spans="3:25"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</row>
    <row r="502" spans="3:25"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</row>
    <row r="503" spans="3:25"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</row>
    <row r="504" spans="3:25"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</row>
    <row r="505" spans="3:25"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</row>
    <row r="506" spans="3:25"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</row>
    <row r="507" spans="3:25"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  <c r="T507" s="163"/>
      <c r="U507" s="163"/>
      <c r="V507" s="163"/>
      <c r="W507" s="163"/>
      <c r="X507" s="163"/>
      <c r="Y507" s="163"/>
    </row>
    <row r="508" spans="3:25">
      <c r="C508" s="163"/>
      <c r="D508" s="163"/>
      <c r="E508" s="163"/>
      <c r="F508" s="163"/>
      <c r="G508" s="163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  <c r="T508" s="163"/>
      <c r="U508" s="163"/>
      <c r="V508" s="163"/>
      <c r="W508" s="163"/>
      <c r="X508" s="163"/>
      <c r="Y508" s="163"/>
    </row>
    <row r="509" spans="3:25">
      <c r="C509" s="163"/>
      <c r="D509" s="163"/>
      <c r="E509" s="163"/>
      <c r="F509" s="163"/>
      <c r="G509" s="163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  <c r="T509" s="163"/>
      <c r="U509" s="163"/>
      <c r="V509" s="163"/>
      <c r="W509" s="163"/>
      <c r="X509" s="163"/>
      <c r="Y509" s="163"/>
    </row>
    <row r="510" spans="3:25">
      <c r="C510" s="163"/>
      <c r="D510" s="163"/>
      <c r="E510" s="163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</row>
    <row r="511" spans="3:25">
      <c r="C511" s="163"/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</row>
    <row r="512" spans="3:25">
      <c r="C512" s="163"/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</row>
    <row r="513" spans="3:25">
      <c r="C513" s="163"/>
      <c r="D513" s="163"/>
      <c r="E513" s="163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</row>
    <row r="514" spans="3:25">
      <c r="C514" s="163"/>
      <c r="D514" s="163"/>
      <c r="E514" s="163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</row>
    <row r="515" spans="3:25">
      <c r="C515" s="163"/>
      <c r="D515" s="163"/>
      <c r="E515" s="163"/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</row>
    <row r="516" spans="3:25">
      <c r="C516" s="163"/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</row>
    <row r="517" spans="3:25">
      <c r="C517" s="163"/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</row>
    <row r="518" spans="3:25">
      <c r="C518" s="163"/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</row>
    <row r="519" spans="3:25">
      <c r="C519" s="163"/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</row>
    <row r="520" spans="3:25">
      <c r="C520" s="163"/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</row>
    <row r="521" spans="3:25">
      <c r="C521" s="163"/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  <c r="V521" s="163"/>
      <c r="W521" s="163"/>
      <c r="X521" s="163"/>
      <c r="Y521" s="163"/>
    </row>
  </sheetData>
  <phoneticPr fontId="0" type="noConversion"/>
  <pageMargins left="0.75" right="0.75" top="1" bottom="1" header="0.5" footer="0.5"/>
  <headerFooter alignWithMargins="0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2"/>
  <dimension ref="A1:AD249"/>
  <sheetViews>
    <sheetView topLeftCell="A2" workbookViewId="0">
      <pane xSplit="2" ySplit="4" topLeftCell="F26" activePane="bottomRight" state="frozen"/>
      <selection activeCell="A2" sqref="A2"/>
      <selection pane="topRight" activeCell="C2" sqref="C2"/>
      <selection pane="bottomLeft" activeCell="A6" sqref="A6"/>
      <selection pane="bottomRight" activeCell="L99" sqref="L99"/>
    </sheetView>
  </sheetViews>
  <sheetFormatPr defaultRowHeight="12.75"/>
  <cols>
    <col min="1" max="1" width="6.7109375" customWidth="1"/>
    <col min="2" max="2" width="27.85546875" style="41" customWidth="1"/>
    <col min="3" max="3" width="11.42578125" style="21" customWidth="1"/>
    <col min="6" max="7" width="11.28515625" customWidth="1"/>
    <col min="16" max="16" width="10.5703125" customWidth="1"/>
    <col min="17" max="17" width="11.140625" customWidth="1"/>
  </cols>
  <sheetData>
    <row r="1" spans="1:16">
      <c r="A1" s="67" t="s">
        <v>41</v>
      </c>
      <c r="B1" s="71" t="s">
        <v>42</v>
      </c>
      <c r="C1" s="72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7"/>
    </row>
    <row r="2" spans="1:16">
      <c r="A2" s="41"/>
      <c r="B2" s="71"/>
      <c r="C2" s="72"/>
      <c r="D2" s="69">
        <v>37622</v>
      </c>
      <c r="E2" s="69">
        <v>37653</v>
      </c>
      <c r="F2" s="69">
        <v>37681</v>
      </c>
      <c r="G2" s="69">
        <v>37712</v>
      </c>
      <c r="H2" s="69">
        <v>37742</v>
      </c>
      <c r="I2" s="69">
        <v>37773</v>
      </c>
      <c r="J2" s="69">
        <v>37803</v>
      </c>
      <c r="K2" s="69">
        <v>37834</v>
      </c>
      <c r="L2" s="69">
        <v>37865</v>
      </c>
      <c r="M2" s="69">
        <v>37895</v>
      </c>
      <c r="N2" s="69">
        <v>37926</v>
      </c>
      <c r="O2" s="69">
        <v>37956</v>
      </c>
      <c r="P2" s="67" t="s">
        <v>5</v>
      </c>
    </row>
    <row r="3" spans="1:16">
      <c r="A3" s="41"/>
      <c r="B3" s="71" t="s">
        <v>11</v>
      </c>
      <c r="C3" s="72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5"/>
    </row>
    <row r="4" spans="1:16">
      <c r="A4" s="73"/>
      <c r="B4" s="268" t="s">
        <v>574</v>
      </c>
      <c r="C4" s="9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43"/>
    </row>
    <row r="5" spans="1:16">
      <c r="A5" s="41"/>
      <c r="B5" s="147" t="s">
        <v>167</v>
      </c>
      <c r="C5" s="279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43"/>
    </row>
    <row r="6" spans="1:16">
      <c r="A6" s="41"/>
      <c r="B6" s="147"/>
      <c r="C6" s="279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43"/>
    </row>
    <row r="7" spans="1:16" ht="12" customHeight="1">
      <c r="A7" s="157"/>
      <c r="B7" s="152" t="s">
        <v>556</v>
      </c>
      <c r="C7" s="246"/>
      <c r="D7" s="162">
        <v>11500</v>
      </c>
      <c r="E7" s="162">
        <v>11500</v>
      </c>
      <c r="F7" s="162">
        <v>11500</v>
      </c>
      <c r="G7" s="162">
        <v>11500</v>
      </c>
      <c r="H7" s="162">
        <v>11500</v>
      </c>
      <c r="I7" s="162">
        <v>11500</v>
      </c>
      <c r="J7" s="162">
        <v>11500</v>
      </c>
      <c r="K7" s="162">
        <v>11500</v>
      </c>
      <c r="L7" s="162">
        <v>11500</v>
      </c>
      <c r="M7" s="162">
        <v>11500</v>
      </c>
      <c r="N7" s="162">
        <v>11500</v>
      </c>
      <c r="O7" s="162">
        <v>11500</v>
      </c>
      <c r="P7" s="43">
        <f t="shared" ref="P7:P24" si="0">SUM(D7:O7)</f>
        <v>138000</v>
      </c>
    </row>
    <row r="8" spans="1:16">
      <c r="A8" s="157"/>
      <c r="B8" s="152" t="s">
        <v>154</v>
      </c>
      <c r="C8" s="246"/>
      <c r="D8" s="162">
        <f>+'Staff requirements'!O7</f>
        <v>1450</v>
      </c>
      <c r="E8" s="162">
        <f>+'Staff requirements'!P7</f>
        <v>1450</v>
      </c>
      <c r="F8" s="162">
        <f>+'Staff requirements'!Q7</f>
        <v>1450</v>
      </c>
      <c r="G8" s="162">
        <f>+'Staff requirements'!R7</f>
        <v>1450</v>
      </c>
      <c r="H8" s="162">
        <f>+'Staff requirements'!S7</f>
        <v>1450</v>
      </c>
      <c r="I8" s="162">
        <f>+'Staff requirements'!T7</f>
        <v>1450</v>
      </c>
      <c r="J8" s="162">
        <f>+'Staff requirements'!U7</f>
        <v>1450</v>
      </c>
      <c r="K8" s="162">
        <f>+'Staff requirements'!V7</f>
        <v>1450</v>
      </c>
      <c r="L8" s="162">
        <f>+'Staff requirements'!W7</f>
        <v>1450</v>
      </c>
      <c r="M8" s="162">
        <f>+'Staff requirements'!X7</f>
        <v>1450</v>
      </c>
      <c r="N8" s="162">
        <f>+'Staff requirements'!Y7</f>
        <v>1450</v>
      </c>
      <c r="O8" s="162">
        <f>+'Staff requirements'!Z7</f>
        <v>1450</v>
      </c>
      <c r="P8" s="43">
        <f t="shared" si="0"/>
        <v>17400</v>
      </c>
    </row>
    <row r="9" spans="1:16">
      <c r="A9" s="157"/>
      <c r="B9" s="152" t="s">
        <v>730</v>
      </c>
      <c r="C9" s="246"/>
      <c r="D9" s="162">
        <f>+'Staff requirements'!O8</f>
        <v>7000</v>
      </c>
      <c r="E9" s="162">
        <f>+'Staff requirements'!P8</f>
        <v>7000</v>
      </c>
      <c r="F9" s="162">
        <f>+'Staff requirements'!Q8</f>
        <v>7000</v>
      </c>
      <c r="G9" s="162">
        <f>+'Staff requirements'!R8</f>
        <v>7000</v>
      </c>
      <c r="H9" s="162">
        <f>+'Staff requirements'!S8</f>
        <v>7000</v>
      </c>
      <c r="I9" s="162">
        <f>+'Staff requirements'!T8</f>
        <v>7000</v>
      </c>
      <c r="J9" s="162">
        <f>+'Staff requirements'!U8</f>
        <v>7000</v>
      </c>
      <c r="K9" s="162">
        <f>+'Staff requirements'!V8</f>
        <v>7000</v>
      </c>
      <c r="L9" s="162">
        <f>+'Staff requirements'!W8</f>
        <v>7000</v>
      </c>
      <c r="M9" s="162">
        <f>+'Staff requirements'!X8</f>
        <v>7000</v>
      </c>
      <c r="N9" s="162">
        <f>+'Staff requirements'!Y8</f>
        <v>7000</v>
      </c>
      <c r="O9" s="162">
        <f>+'Staff requirements'!Z8</f>
        <v>7000</v>
      </c>
      <c r="P9" s="43">
        <f t="shared" si="0"/>
        <v>84000</v>
      </c>
    </row>
    <row r="10" spans="1:16">
      <c r="A10" s="157"/>
      <c r="B10" s="152" t="s">
        <v>731</v>
      </c>
      <c r="C10" s="246"/>
      <c r="D10" s="162">
        <f>+'Staff requirements'!O9</f>
        <v>3500</v>
      </c>
      <c r="E10" s="162">
        <f>+'Staff requirements'!P9</f>
        <v>3500</v>
      </c>
      <c r="F10" s="162">
        <f>+'Staff requirements'!Q9</f>
        <v>3500</v>
      </c>
      <c r="G10" s="162">
        <f>+'Staff requirements'!R9</f>
        <v>3500</v>
      </c>
      <c r="H10" s="162">
        <f>+'Staff requirements'!S9</f>
        <v>3500</v>
      </c>
      <c r="I10" s="162">
        <f>+'Staff requirements'!T9</f>
        <v>3500</v>
      </c>
      <c r="J10" s="162">
        <f>+'Staff requirements'!U9</f>
        <v>3500</v>
      </c>
      <c r="K10" s="162">
        <f>+'Staff requirements'!V9</f>
        <v>3500</v>
      </c>
      <c r="L10" s="162">
        <v>4000</v>
      </c>
      <c r="M10" s="162">
        <v>4000</v>
      </c>
      <c r="N10" s="162">
        <v>4000</v>
      </c>
      <c r="O10" s="162">
        <v>4000</v>
      </c>
      <c r="P10" s="43">
        <f t="shared" si="0"/>
        <v>44000</v>
      </c>
    </row>
    <row r="11" spans="1:16">
      <c r="A11" s="151"/>
      <c r="B11" s="152"/>
      <c r="C11" s="246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43"/>
    </row>
    <row r="12" spans="1:16">
      <c r="A12" s="151"/>
      <c r="B12" s="152"/>
      <c r="C12" s="246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43"/>
    </row>
    <row r="13" spans="1:16">
      <c r="A13" s="151"/>
      <c r="B13" s="147" t="s">
        <v>166</v>
      </c>
      <c r="C13" s="246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43"/>
    </row>
    <row r="14" spans="1:16">
      <c r="A14" s="151"/>
      <c r="B14" s="147"/>
      <c r="C14" s="279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43"/>
    </row>
    <row r="15" spans="1:16">
      <c r="A15" s="151"/>
      <c r="B15" s="152" t="s">
        <v>156</v>
      </c>
      <c r="C15" s="279"/>
      <c r="D15" s="162">
        <f>+'Staff requirements'!O14</f>
        <v>9000</v>
      </c>
      <c r="E15" s="162">
        <f>+'Staff requirements'!P14</f>
        <v>9000</v>
      </c>
      <c r="F15" s="162">
        <f>+'Staff requirements'!Q14</f>
        <v>9000</v>
      </c>
      <c r="G15" s="162">
        <f>+'Staff requirements'!R14</f>
        <v>9000</v>
      </c>
      <c r="H15" s="162">
        <f>+'Staff requirements'!S14</f>
        <v>9000</v>
      </c>
      <c r="I15" s="162">
        <f>+'Staff requirements'!T14</f>
        <v>9000</v>
      </c>
      <c r="J15" s="162">
        <f>+'Staff requirements'!U14</f>
        <v>9000</v>
      </c>
      <c r="K15" s="162">
        <f>+'Staff requirements'!V14</f>
        <v>9000</v>
      </c>
      <c r="L15" s="162">
        <f>+'Staff requirements'!W14</f>
        <v>9000</v>
      </c>
      <c r="M15" s="162">
        <f>+'Staff requirements'!X14</f>
        <v>9000</v>
      </c>
      <c r="N15" s="162">
        <f>+'Staff requirements'!Y14</f>
        <v>9000</v>
      </c>
      <c r="O15" s="162">
        <f>+'Staff requirements'!Z14</f>
        <v>9000</v>
      </c>
      <c r="P15" s="43">
        <f t="shared" si="0"/>
        <v>108000</v>
      </c>
    </row>
    <row r="16" spans="1:16">
      <c r="A16" s="151"/>
      <c r="B16" s="152"/>
      <c r="C16" s="246"/>
      <c r="D16" s="162">
        <f>+'Staff requirements'!O15</f>
        <v>0</v>
      </c>
      <c r="E16" s="162">
        <f>+'Staff requirements'!P15</f>
        <v>0</v>
      </c>
      <c r="F16" s="162">
        <f>+'Staff requirements'!Q15</f>
        <v>0</v>
      </c>
      <c r="G16" s="162">
        <f>+'Staff requirements'!R15</f>
        <v>0</v>
      </c>
      <c r="H16" s="162">
        <f>+'Staff requirements'!S15</f>
        <v>0</v>
      </c>
      <c r="I16" s="162">
        <f>+'Staff requirements'!T15</f>
        <v>0</v>
      </c>
      <c r="J16" s="162">
        <f>+'Staff requirements'!U15</f>
        <v>0</v>
      </c>
      <c r="K16" s="162">
        <f>+'Staff requirements'!V15</f>
        <v>0</v>
      </c>
      <c r="L16" s="162">
        <f>+'Staff requirements'!W15</f>
        <v>0</v>
      </c>
      <c r="M16" s="162">
        <f>+'Staff requirements'!X15</f>
        <v>0</v>
      </c>
      <c r="N16" s="162">
        <f>+'Staff requirements'!Y15</f>
        <v>0</v>
      </c>
      <c r="O16" s="162">
        <f>+'Staff requirements'!Z15</f>
        <v>0</v>
      </c>
      <c r="P16" s="43">
        <f t="shared" si="0"/>
        <v>0</v>
      </c>
    </row>
    <row r="17" spans="1:17">
      <c r="A17" s="151"/>
      <c r="B17" s="152" t="s">
        <v>732</v>
      </c>
      <c r="C17" s="246"/>
      <c r="D17" s="162">
        <f>+'Staff requirements'!O16</f>
        <v>6750</v>
      </c>
      <c r="E17" s="162">
        <f>+'Staff requirements'!P16</f>
        <v>6750</v>
      </c>
      <c r="F17" s="162">
        <f>+'Staff requirements'!Q16</f>
        <v>6750</v>
      </c>
      <c r="G17" s="162">
        <f>+'Staff requirements'!R16</f>
        <v>6750</v>
      </c>
      <c r="H17" s="162">
        <f>+'Staff requirements'!S16</f>
        <v>6750</v>
      </c>
      <c r="I17" s="162">
        <f>+'Staff requirements'!T16</f>
        <v>6750</v>
      </c>
      <c r="J17" s="162">
        <f>+'Staff requirements'!U16</f>
        <v>6750</v>
      </c>
      <c r="K17" s="162">
        <f>+'Staff requirements'!V16</f>
        <v>6750</v>
      </c>
      <c r="L17" s="162">
        <f>+'Staff requirements'!W16</f>
        <v>6750</v>
      </c>
      <c r="M17" s="162">
        <f>+'Staff requirements'!X16</f>
        <v>6750</v>
      </c>
      <c r="N17" s="162">
        <f>+'Staff requirements'!Y16</f>
        <v>6750</v>
      </c>
      <c r="O17" s="162">
        <f>+'Staff requirements'!Z16</f>
        <v>6750</v>
      </c>
      <c r="P17" s="43">
        <f t="shared" si="0"/>
        <v>81000</v>
      </c>
    </row>
    <row r="18" spans="1:17">
      <c r="A18" s="151"/>
      <c r="B18" s="152" t="s">
        <v>163</v>
      </c>
      <c r="C18" s="246"/>
      <c r="D18" s="162">
        <f>+'Staff requirements'!O17</f>
        <v>4800</v>
      </c>
      <c r="E18" s="162">
        <f>+'Staff requirements'!P17</f>
        <v>4800</v>
      </c>
      <c r="F18" s="162">
        <f>+'Staff requirements'!Q17</f>
        <v>4800</v>
      </c>
      <c r="G18" s="162">
        <f>+'Staff requirements'!R17</f>
        <v>4800</v>
      </c>
      <c r="H18" s="162">
        <f>+'Staff requirements'!S17</f>
        <v>4800</v>
      </c>
      <c r="I18" s="162">
        <f>+'Staff requirements'!T17</f>
        <v>4800</v>
      </c>
      <c r="J18" s="162">
        <f>+'Staff requirements'!U17</f>
        <v>4800</v>
      </c>
      <c r="K18" s="162">
        <f>+'Staff requirements'!V17</f>
        <v>4800</v>
      </c>
      <c r="L18" s="162">
        <f>+'Staff requirements'!W17</f>
        <v>4800</v>
      </c>
      <c r="M18" s="162">
        <f>+'Staff requirements'!X17</f>
        <v>4800</v>
      </c>
      <c r="N18" s="162">
        <f>+'Staff requirements'!Y17</f>
        <v>4800</v>
      </c>
      <c r="O18" s="162">
        <f>+'Staff requirements'!Z17</f>
        <v>4800</v>
      </c>
      <c r="P18" s="43">
        <f t="shared" si="0"/>
        <v>57600</v>
      </c>
    </row>
    <row r="19" spans="1:17">
      <c r="A19" s="151"/>
      <c r="B19" s="152" t="s">
        <v>733</v>
      </c>
      <c r="C19" s="246"/>
      <c r="D19" s="162">
        <f>+'Staff requirements'!O18</f>
        <v>4000</v>
      </c>
      <c r="E19" s="162">
        <f>+'Staff requirements'!P18</f>
        <v>4000</v>
      </c>
      <c r="F19" s="162">
        <f>+'Staff requirements'!Q18</f>
        <v>4000</v>
      </c>
      <c r="G19" s="162">
        <f>+'Staff requirements'!R18</f>
        <v>4000</v>
      </c>
      <c r="H19" s="162">
        <f>+'Staff requirements'!S18</f>
        <v>4000</v>
      </c>
      <c r="I19" s="162">
        <f>+'Staff requirements'!T18</f>
        <v>4000</v>
      </c>
      <c r="J19" s="162">
        <f>+'Staff requirements'!U18</f>
        <v>4000</v>
      </c>
      <c r="K19" s="162">
        <f>+'Staff requirements'!V18</f>
        <v>4000</v>
      </c>
      <c r="L19" s="162">
        <f>+'Staff requirements'!W18</f>
        <v>4000</v>
      </c>
      <c r="M19" s="162">
        <f>+'Staff requirements'!X18</f>
        <v>4000</v>
      </c>
      <c r="N19" s="162">
        <f>+'Staff requirements'!Y18</f>
        <v>4000</v>
      </c>
      <c r="O19" s="162">
        <f>+'Staff requirements'!Z18</f>
        <v>4000</v>
      </c>
      <c r="P19" s="43">
        <f t="shared" si="0"/>
        <v>48000</v>
      </c>
    </row>
    <row r="20" spans="1:17">
      <c r="A20" s="151"/>
      <c r="B20" s="152" t="s">
        <v>734</v>
      </c>
      <c r="C20" s="246"/>
      <c r="D20" s="162">
        <f>+'Staff requirements'!O19</f>
        <v>5250</v>
      </c>
      <c r="E20" s="162">
        <f>+'Staff requirements'!P19</f>
        <v>5250</v>
      </c>
      <c r="F20" s="162">
        <f>+'Staff requirements'!Q19</f>
        <v>5250</v>
      </c>
      <c r="G20" s="162">
        <f>+'Staff requirements'!R19</f>
        <v>5250</v>
      </c>
      <c r="H20" s="162">
        <f>+'Staff requirements'!S19</f>
        <v>5250</v>
      </c>
      <c r="I20" s="162">
        <f>+'Staff requirements'!T19</f>
        <v>5250</v>
      </c>
      <c r="J20" s="162">
        <f>+'Staff requirements'!U19</f>
        <v>5250</v>
      </c>
      <c r="K20" s="162">
        <f>+'Staff requirements'!V19</f>
        <v>5250</v>
      </c>
      <c r="L20" s="162">
        <f>+'Staff requirements'!W19</f>
        <v>5250</v>
      </c>
      <c r="M20" s="162">
        <f>+'Staff requirements'!X19</f>
        <v>5250</v>
      </c>
      <c r="N20" s="162">
        <f>+'Staff requirements'!Y19</f>
        <v>5250</v>
      </c>
      <c r="O20" s="162">
        <f>+'Staff requirements'!Z19</f>
        <v>5250</v>
      </c>
      <c r="P20" s="43">
        <f t="shared" si="0"/>
        <v>63000</v>
      </c>
    </row>
    <row r="21" spans="1:17">
      <c r="A21" s="151"/>
      <c r="B21" s="152" t="s">
        <v>735</v>
      </c>
      <c r="C21" s="246"/>
      <c r="D21" s="162">
        <f>+'Staff requirements'!O20</f>
        <v>2500</v>
      </c>
      <c r="E21" s="162">
        <f>+'Staff requirements'!P20</f>
        <v>2500</v>
      </c>
      <c r="F21" s="162">
        <f>+'Staff requirements'!Q20</f>
        <v>2500</v>
      </c>
      <c r="G21" s="162">
        <f>+'Staff requirements'!R20</f>
        <v>2500</v>
      </c>
      <c r="H21" s="162">
        <f>+'Staff requirements'!S20</f>
        <v>2500</v>
      </c>
      <c r="I21" s="162">
        <f>+'Staff requirements'!T20</f>
        <v>2500</v>
      </c>
      <c r="J21" s="162">
        <f>+'Staff requirements'!U20</f>
        <v>2500</v>
      </c>
      <c r="K21" s="162">
        <f>+'Staff requirements'!V20</f>
        <v>2500</v>
      </c>
      <c r="L21" s="162">
        <f>+'Staff requirements'!W20</f>
        <v>2500</v>
      </c>
      <c r="M21" s="162">
        <f>+'Staff requirements'!X20</f>
        <v>2500</v>
      </c>
      <c r="N21" s="162">
        <f>+'Staff requirements'!Y20</f>
        <v>2500</v>
      </c>
      <c r="O21" s="162">
        <f>+'Staff requirements'!Z20</f>
        <v>2500</v>
      </c>
      <c r="P21" s="43">
        <f t="shared" si="0"/>
        <v>30000</v>
      </c>
    </row>
    <row r="22" spans="1:17">
      <c r="A22" s="151"/>
      <c r="B22" s="152" t="s">
        <v>736</v>
      </c>
      <c r="C22" s="246"/>
      <c r="D22" s="162">
        <f>+'Staff requirements'!O21</f>
        <v>6250</v>
      </c>
      <c r="E22" s="162">
        <f>+'Staff requirements'!P21</f>
        <v>6250</v>
      </c>
      <c r="F22" s="162">
        <f>+'Staff requirements'!Q21</f>
        <v>6250</v>
      </c>
      <c r="G22" s="162">
        <f>+'Staff requirements'!R21</f>
        <v>6250</v>
      </c>
      <c r="H22" s="162">
        <f>+'Staff requirements'!S21</f>
        <v>6250</v>
      </c>
      <c r="I22" s="162">
        <f>+'Staff requirements'!T21</f>
        <v>6250</v>
      </c>
      <c r="J22" s="162">
        <f>+'Staff requirements'!U21</f>
        <v>6250</v>
      </c>
      <c r="K22" s="162">
        <f>+'Staff requirements'!V21</f>
        <v>6250</v>
      </c>
      <c r="L22" s="162">
        <f>+'Staff requirements'!W21</f>
        <v>6250</v>
      </c>
      <c r="M22" s="162">
        <f>+'Staff requirements'!X21</f>
        <v>6250</v>
      </c>
      <c r="N22" s="162">
        <f>+'Staff requirements'!Y21</f>
        <v>6250</v>
      </c>
      <c r="O22" s="162">
        <f>+'Staff requirements'!Z21</f>
        <v>6250</v>
      </c>
      <c r="P22" s="43">
        <f t="shared" si="0"/>
        <v>75000</v>
      </c>
    </row>
    <row r="23" spans="1:17">
      <c r="A23" s="151"/>
      <c r="B23" s="152" t="s">
        <v>739</v>
      </c>
      <c r="C23" s="246"/>
      <c r="D23" s="162">
        <f>+'Staff requirements'!O22</f>
        <v>0</v>
      </c>
      <c r="E23" s="162">
        <f>+'Staff requirements'!P22</f>
        <v>0</v>
      </c>
      <c r="F23" s="162">
        <f>+'Staff requirements'!Q22</f>
        <v>0</v>
      </c>
      <c r="G23" s="162">
        <f>+'Staff requirements'!R22</f>
        <v>0</v>
      </c>
      <c r="H23" s="162">
        <f>+'Staff requirements'!S22</f>
        <v>0</v>
      </c>
      <c r="I23" s="162">
        <f>+'Staff requirements'!T22</f>
        <v>0</v>
      </c>
      <c r="J23" s="162">
        <f>+'Staff requirements'!U22</f>
        <v>0</v>
      </c>
      <c r="K23" s="162">
        <f>+'Staff requirements'!V22</f>
        <v>0</v>
      </c>
      <c r="L23" s="162">
        <f>+'Staff requirements'!W22</f>
        <v>12000</v>
      </c>
      <c r="M23" s="162">
        <f>+'Staff requirements'!X22</f>
        <v>12000</v>
      </c>
      <c r="N23" s="162">
        <f>+'Staff requirements'!Y22</f>
        <v>12000</v>
      </c>
      <c r="O23" s="162">
        <f>+'Staff requirements'!Z22</f>
        <v>12000</v>
      </c>
      <c r="P23" s="43">
        <f t="shared" si="0"/>
        <v>48000</v>
      </c>
    </row>
    <row r="24" spans="1:17">
      <c r="A24" s="151"/>
      <c r="B24" s="152" t="s">
        <v>804</v>
      </c>
      <c r="C24" s="246"/>
      <c r="D24" s="162">
        <f>+'Staff requirements'!O23</f>
        <v>7000</v>
      </c>
      <c r="E24" s="162">
        <f>+'Staff requirements'!P23</f>
        <v>7000</v>
      </c>
      <c r="F24" s="162">
        <f>+'Staff requirements'!Q23</f>
        <v>7000</v>
      </c>
      <c r="G24" s="162">
        <f>+'Staff requirements'!R23</f>
        <v>7000</v>
      </c>
      <c r="H24" s="162">
        <f>+'Staff requirements'!S23</f>
        <v>7000</v>
      </c>
      <c r="I24" s="162">
        <f>+'Staff requirements'!T23</f>
        <v>7000</v>
      </c>
      <c r="J24" s="162">
        <f>+'Staff requirements'!U23</f>
        <v>7000</v>
      </c>
      <c r="K24" s="162">
        <f>+'Staff requirements'!V23</f>
        <v>7000</v>
      </c>
      <c r="L24" s="162">
        <f>+'Staff requirements'!W23</f>
        <v>7000</v>
      </c>
      <c r="M24" s="162">
        <f>+'Staff requirements'!X23</f>
        <v>7000</v>
      </c>
      <c r="N24" s="162">
        <f>+'Staff requirements'!Y23</f>
        <v>7000</v>
      </c>
      <c r="O24" s="162">
        <f>+'Staff requirements'!Z23</f>
        <v>7000</v>
      </c>
      <c r="P24" s="43">
        <f t="shared" si="0"/>
        <v>84000</v>
      </c>
    </row>
    <row r="25" spans="1:17">
      <c r="A25" s="151"/>
      <c r="B25" s="152"/>
      <c r="C25" s="246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43"/>
    </row>
    <row r="26" spans="1:17">
      <c r="A26" s="151"/>
      <c r="B26" s="147" t="s">
        <v>168</v>
      </c>
      <c r="C26" s="246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48"/>
      <c r="Q26" s="45"/>
    </row>
    <row r="27" spans="1:17">
      <c r="A27" s="151"/>
      <c r="B27" s="147"/>
      <c r="C27" s="279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43"/>
    </row>
    <row r="28" spans="1:17">
      <c r="A28" s="151"/>
      <c r="B28" s="152" t="s">
        <v>161</v>
      </c>
      <c r="C28" s="279"/>
      <c r="D28" s="162">
        <f>+'Staff requirements'!O27</f>
        <v>8500</v>
      </c>
      <c r="E28" s="162">
        <f>+'Staff requirements'!P27</f>
        <v>8500</v>
      </c>
      <c r="F28" s="162">
        <f>+'Staff requirements'!Q27</f>
        <v>8500</v>
      </c>
      <c r="G28" s="162">
        <f>+'Staff requirements'!R27</f>
        <v>8500</v>
      </c>
      <c r="H28" s="162">
        <f>+'Staff requirements'!S27</f>
        <v>8500</v>
      </c>
      <c r="I28" s="162">
        <f>+'Staff requirements'!T27</f>
        <v>8500</v>
      </c>
      <c r="J28" s="162">
        <f>+'Staff requirements'!U27</f>
        <v>8500</v>
      </c>
      <c r="K28" s="162">
        <f>+'Staff requirements'!V27</f>
        <v>8500</v>
      </c>
      <c r="L28" s="162">
        <f>+'Staff requirements'!W27</f>
        <v>8500</v>
      </c>
      <c r="M28" s="162">
        <f>+'Staff requirements'!X27</f>
        <v>8500</v>
      </c>
      <c r="N28" s="162">
        <f>+'Staff requirements'!Y27</f>
        <v>8500</v>
      </c>
      <c r="O28" s="162">
        <f>+'Staff requirements'!Z27</f>
        <v>8500</v>
      </c>
      <c r="P28" s="43">
        <f t="shared" ref="P28:P36" si="1">SUM(D28:O28)</f>
        <v>102000</v>
      </c>
    </row>
    <row r="29" spans="1:17">
      <c r="A29" s="151"/>
      <c r="B29" s="152" t="s">
        <v>155</v>
      </c>
      <c r="C29" s="246"/>
      <c r="D29" s="162">
        <f>+'Staff requirements'!O28</f>
        <v>9000</v>
      </c>
      <c r="E29" s="162">
        <f>+'Staff requirements'!P28</f>
        <v>9000</v>
      </c>
      <c r="F29" s="162">
        <f>+'Staff requirements'!Q28</f>
        <v>9000</v>
      </c>
      <c r="G29" s="162">
        <f>+'Staff requirements'!R28</f>
        <v>9000</v>
      </c>
      <c r="H29" s="162">
        <f>+'Staff requirements'!S28</f>
        <v>9000</v>
      </c>
      <c r="I29" s="162">
        <f>+'Staff requirements'!T28</f>
        <v>9000</v>
      </c>
      <c r="J29" s="162">
        <f>+'Staff requirements'!U28</f>
        <v>9000</v>
      </c>
      <c r="K29" s="162">
        <f>+'Staff requirements'!V28</f>
        <v>9000</v>
      </c>
      <c r="L29" s="162">
        <f>+'Staff requirements'!W28</f>
        <v>9000</v>
      </c>
      <c r="M29" s="162">
        <f>+'Staff requirements'!X28</f>
        <v>9000</v>
      </c>
      <c r="N29" s="162">
        <f>+'Staff requirements'!Y28</f>
        <v>9000</v>
      </c>
      <c r="O29" s="162">
        <f>+'Staff requirements'!Z28</f>
        <v>9000</v>
      </c>
      <c r="P29" s="43">
        <f t="shared" si="1"/>
        <v>108000</v>
      </c>
    </row>
    <row r="30" spans="1:17">
      <c r="A30" s="151"/>
      <c r="B30" s="152" t="s">
        <v>575</v>
      </c>
      <c r="C30" s="246"/>
      <c r="D30" s="162">
        <f>+'Staff requirements'!O29</f>
        <v>4000</v>
      </c>
      <c r="E30" s="162">
        <f>+'Staff requirements'!P29</f>
        <v>4000</v>
      </c>
      <c r="F30" s="162">
        <f>+'Staff requirements'!Q29</f>
        <v>4000</v>
      </c>
      <c r="G30" s="162">
        <f>+'Staff requirements'!R29</f>
        <v>4000</v>
      </c>
      <c r="H30" s="162">
        <f>+'Staff requirements'!S29</f>
        <v>4000</v>
      </c>
      <c r="I30" s="162">
        <f>+'Staff requirements'!T29</f>
        <v>4000</v>
      </c>
      <c r="J30" s="162">
        <f>+'Staff requirements'!U29</f>
        <v>4000</v>
      </c>
      <c r="K30" s="162">
        <f>+'Staff requirements'!V29</f>
        <v>4000</v>
      </c>
      <c r="L30" s="162">
        <f>+'Staff requirements'!W29</f>
        <v>4000</v>
      </c>
      <c r="M30" s="162">
        <f>+'Staff requirements'!X29</f>
        <v>4000</v>
      </c>
      <c r="N30" s="162">
        <f>+'Staff requirements'!Y29</f>
        <v>4000</v>
      </c>
      <c r="O30" s="162">
        <f>+'Staff requirements'!Z29</f>
        <v>4000</v>
      </c>
      <c r="P30" s="43">
        <f t="shared" si="1"/>
        <v>48000</v>
      </c>
    </row>
    <row r="31" spans="1:17">
      <c r="A31" s="151"/>
      <c r="B31" s="152" t="s">
        <v>159</v>
      </c>
      <c r="C31" s="246"/>
      <c r="D31" s="162">
        <f>+'Staff requirements'!O30</f>
        <v>6250</v>
      </c>
      <c r="E31" s="162">
        <f>+'Staff requirements'!P30</f>
        <v>6250</v>
      </c>
      <c r="F31" s="162">
        <f>+'Staff requirements'!Q30</f>
        <v>6250</v>
      </c>
      <c r="G31" s="162">
        <f>+'Staff requirements'!R30</f>
        <v>6250</v>
      </c>
      <c r="H31" s="162">
        <f>+'Staff requirements'!S30</f>
        <v>6250</v>
      </c>
      <c r="I31" s="162">
        <f>+'Staff requirements'!T30</f>
        <v>6250</v>
      </c>
      <c r="J31" s="162">
        <f>+'Staff requirements'!U30</f>
        <v>6250</v>
      </c>
      <c r="K31" s="162">
        <f>+'Staff requirements'!V30</f>
        <v>6250</v>
      </c>
      <c r="L31" s="162">
        <f>+'Staff requirements'!W30</f>
        <v>6250</v>
      </c>
      <c r="M31" s="162">
        <f>+'Staff requirements'!X30</f>
        <v>6250</v>
      </c>
      <c r="N31" s="162">
        <f>+'Staff requirements'!Y30</f>
        <v>6250</v>
      </c>
      <c r="O31" s="162">
        <f>+'Staff requirements'!Z30</f>
        <v>6250</v>
      </c>
      <c r="P31" s="43">
        <f t="shared" si="1"/>
        <v>75000</v>
      </c>
    </row>
    <row r="32" spans="1:17">
      <c r="A32" s="151"/>
      <c r="B32" s="152" t="s">
        <v>160</v>
      </c>
      <c r="C32" s="246"/>
      <c r="D32" s="162">
        <f>+'Staff requirements'!O31</f>
        <v>7500</v>
      </c>
      <c r="E32" s="162">
        <f>+'Staff requirements'!P31</f>
        <v>7500</v>
      </c>
      <c r="F32" s="162">
        <f>+'Staff requirements'!Q31</f>
        <v>7500</v>
      </c>
      <c r="G32" s="162">
        <f>+'Staff requirements'!R31</f>
        <v>7500</v>
      </c>
      <c r="H32" s="162">
        <f>+'Staff requirements'!S31</f>
        <v>7500</v>
      </c>
      <c r="I32" s="162">
        <f>+'Staff requirements'!T31</f>
        <v>7500</v>
      </c>
      <c r="J32" s="162">
        <f>+'Staff requirements'!U31</f>
        <v>7500</v>
      </c>
      <c r="K32" s="162">
        <f>+'Staff requirements'!V31</f>
        <v>7500</v>
      </c>
      <c r="L32" s="162">
        <f>+'Staff requirements'!W31</f>
        <v>7500</v>
      </c>
      <c r="M32" s="162">
        <f>+'Staff requirements'!X31</f>
        <v>7500</v>
      </c>
      <c r="N32" s="162">
        <f>+'Staff requirements'!Y31</f>
        <v>7500</v>
      </c>
      <c r="O32" s="162">
        <f>+'Staff requirements'!Z31</f>
        <v>7500</v>
      </c>
      <c r="P32" s="43">
        <f t="shared" si="1"/>
        <v>90000</v>
      </c>
    </row>
    <row r="33" spans="1:26">
      <c r="A33" s="151"/>
      <c r="B33" s="152" t="s">
        <v>165</v>
      </c>
      <c r="C33" s="246"/>
      <c r="D33" s="162">
        <f>+'Staff requirements'!O32</f>
        <v>8250</v>
      </c>
      <c r="E33" s="162">
        <f>+'Staff requirements'!P32</f>
        <v>8250</v>
      </c>
      <c r="F33" s="162">
        <f>+'Staff requirements'!Q32</f>
        <v>8250</v>
      </c>
      <c r="G33" s="162">
        <f>+'Staff requirements'!R32</f>
        <v>8250</v>
      </c>
      <c r="H33" s="162">
        <f>+'Staff requirements'!S32</f>
        <v>8250</v>
      </c>
      <c r="I33" s="162">
        <f>+'Staff requirements'!T32</f>
        <v>8250</v>
      </c>
      <c r="J33" s="162">
        <f>+'Staff requirements'!U32</f>
        <v>8250</v>
      </c>
      <c r="K33" s="162">
        <f>+'Staff requirements'!V32</f>
        <v>8250</v>
      </c>
      <c r="L33" s="162">
        <f>+'Staff requirements'!W32</f>
        <v>8250</v>
      </c>
      <c r="M33" s="162">
        <f>+'Staff requirements'!X32</f>
        <v>8250</v>
      </c>
      <c r="N33" s="162">
        <f>+'Staff requirements'!Y32</f>
        <v>8250</v>
      </c>
      <c r="O33" s="162">
        <f>+'Staff requirements'!Z32</f>
        <v>8250</v>
      </c>
      <c r="P33" s="43">
        <f t="shared" si="1"/>
        <v>99000</v>
      </c>
    </row>
    <row r="34" spans="1:26">
      <c r="A34" s="151"/>
      <c r="B34" s="152" t="s">
        <v>737</v>
      </c>
      <c r="C34" s="246"/>
      <c r="D34" s="162">
        <f>+'Staff requirements'!O33</f>
        <v>5500</v>
      </c>
      <c r="E34" s="162">
        <f>+'Staff requirements'!P33</f>
        <v>5500</v>
      </c>
      <c r="F34" s="162">
        <f>+'Staff requirements'!Q33</f>
        <v>5500</v>
      </c>
      <c r="G34" s="162">
        <f>+'Staff requirements'!R33</f>
        <v>5500</v>
      </c>
      <c r="H34" s="162">
        <f>+'Staff requirements'!S33</f>
        <v>5500</v>
      </c>
      <c r="I34" s="162">
        <f>+'Staff requirements'!T33</f>
        <v>5500</v>
      </c>
      <c r="J34" s="162">
        <f>+'Staff requirements'!U33</f>
        <v>5500</v>
      </c>
      <c r="K34" s="162">
        <f>+'Staff requirements'!V33</f>
        <v>5500</v>
      </c>
      <c r="L34" s="162">
        <f>+'Staff requirements'!W33</f>
        <v>5500</v>
      </c>
      <c r="M34" s="162">
        <f>+'Staff requirements'!X33</f>
        <v>5500</v>
      </c>
      <c r="N34" s="162">
        <f>+'Staff requirements'!Y33</f>
        <v>5500</v>
      </c>
      <c r="O34" s="162">
        <f>+'Staff requirements'!Z33</f>
        <v>5500</v>
      </c>
      <c r="P34" s="43">
        <f t="shared" si="1"/>
        <v>66000</v>
      </c>
    </row>
    <row r="35" spans="1:26">
      <c r="A35" s="151"/>
      <c r="B35" s="152" t="s">
        <v>738</v>
      </c>
      <c r="C35" s="246"/>
      <c r="D35" s="162">
        <f>+'Staff requirements'!O34</f>
        <v>7500</v>
      </c>
      <c r="E35" s="162">
        <f>+'Staff requirements'!P34</f>
        <v>7500</v>
      </c>
      <c r="F35" s="162">
        <f>+'Staff requirements'!Q34</f>
        <v>7500</v>
      </c>
      <c r="G35" s="162">
        <f>+'Staff requirements'!R34</f>
        <v>7500</v>
      </c>
      <c r="H35" s="162">
        <f>+'Staff requirements'!S34</f>
        <v>7500</v>
      </c>
      <c r="I35" s="162">
        <f>+'Staff requirements'!T34</f>
        <v>7500</v>
      </c>
      <c r="J35" s="162">
        <f>+'Staff requirements'!U34</f>
        <v>7500</v>
      </c>
      <c r="K35" s="162">
        <f>+'Staff requirements'!V34</f>
        <v>7500</v>
      </c>
      <c r="L35" s="162">
        <f>+'Staff requirements'!W34</f>
        <v>7500</v>
      </c>
      <c r="M35" s="162">
        <f>+'Staff requirements'!X34</f>
        <v>7500</v>
      </c>
      <c r="N35" s="162">
        <f>+'Staff requirements'!Y34</f>
        <v>7500</v>
      </c>
      <c r="O35" s="162">
        <f>+'Staff requirements'!Z34</f>
        <v>7500</v>
      </c>
      <c r="P35" s="43">
        <f t="shared" si="1"/>
        <v>90000</v>
      </c>
    </row>
    <row r="36" spans="1:26">
      <c r="A36" s="151"/>
      <c r="B36" s="152"/>
      <c r="C36" s="246"/>
      <c r="D36" s="162">
        <f>+'Staff requirements'!O35</f>
        <v>0</v>
      </c>
      <c r="E36" s="162">
        <f>+'Staff requirements'!P35</f>
        <v>0</v>
      </c>
      <c r="F36" s="162">
        <f>+'Staff requirements'!Q35</f>
        <v>0</v>
      </c>
      <c r="G36" s="162">
        <f>+'Staff requirements'!R35</f>
        <v>0</v>
      </c>
      <c r="H36" s="162">
        <f>+'Staff requirements'!S35</f>
        <v>0</v>
      </c>
      <c r="I36" s="162">
        <f>+'Staff requirements'!T35</f>
        <v>0</v>
      </c>
      <c r="J36" s="162">
        <f>+'Staff requirements'!U35</f>
        <v>0</v>
      </c>
      <c r="K36" s="162">
        <f>+'Staff requirements'!V35</f>
        <v>0</v>
      </c>
      <c r="L36" s="162">
        <f>+'Staff requirements'!W35</f>
        <v>0</v>
      </c>
      <c r="M36" s="162">
        <f>+'Staff requirements'!X35</f>
        <v>0</v>
      </c>
      <c r="N36" s="162">
        <f>+'Staff requirements'!Y35</f>
        <v>0</v>
      </c>
      <c r="O36" s="162">
        <f>+'Staff requirements'!Z35</f>
        <v>0</v>
      </c>
      <c r="P36" s="43">
        <f t="shared" si="1"/>
        <v>0</v>
      </c>
    </row>
    <row r="37" spans="1:26">
      <c r="A37" s="41"/>
      <c r="B37" s="152"/>
      <c r="C37" s="246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43"/>
    </row>
    <row r="38" spans="1:26">
      <c r="A38" s="41"/>
      <c r="B38" s="267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43"/>
    </row>
    <row r="39" spans="1:26">
      <c r="A39" s="41"/>
      <c r="B39" s="269" t="s">
        <v>408</v>
      </c>
      <c r="C39" s="165"/>
      <c r="D39" s="51">
        <f>SUM(D7:D38)</f>
        <v>125500</v>
      </c>
      <c r="E39" s="51">
        <f t="shared" ref="E39:P39" si="2">SUM(E7:E38)</f>
        <v>125500</v>
      </c>
      <c r="F39" s="51">
        <f t="shared" si="2"/>
        <v>125500</v>
      </c>
      <c r="G39" s="51">
        <f t="shared" si="2"/>
        <v>125500</v>
      </c>
      <c r="H39" s="51">
        <f t="shared" si="2"/>
        <v>125500</v>
      </c>
      <c r="I39" s="51">
        <f t="shared" si="2"/>
        <v>125500</v>
      </c>
      <c r="J39" s="51">
        <f t="shared" si="2"/>
        <v>125500</v>
      </c>
      <c r="K39" s="51">
        <f t="shared" si="2"/>
        <v>125500</v>
      </c>
      <c r="L39" s="51">
        <f t="shared" si="2"/>
        <v>138000</v>
      </c>
      <c r="M39" s="51">
        <f t="shared" si="2"/>
        <v>138000</v>
      </c>
      <c r="N39" s="51">
        <f t="shared" si="2"/>
        <v>138000</v>
      </c>
      <c r="O39" s="51">
        <f t="shared" si="2"/>
        <v>138000</v>
      </c>
      <c r="P39" s="87">
        <f t="shared" si="2"/>
        <v>1556000</v>
      </c>
      <c r="Q39" s="45">
        <f>SUM(D39:O39)</f>
        <v>1556000</v>
      </c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41"/>
      <c r="B40" s="268"/>
      <c r="C40" s="9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43"/>
    </row>
    <row r="41" spans="1:26">
      <c r="A41" s="73"/>
      <c r="B41" s="268" t="s">
        <v>53</v>
      </c>
      <c r="C41" s="9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43"/>
    </row>
    <row r="42" spans="1:26">
      <c r="A42" s="41"/>
      <c r="B42" s="264"/>
      <c r="C42" s="80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43"/>
    </row>
    <row r="43" spans="1:26">
      <c r="A43" s="41"/>
      <c r="B43" s="147" t="s">
        <v>167</v>
      </c>
      <c r="C43" s="27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43"/>
    </row>
    <row r="44" spans="1:26">
      <c r="A44" s="41"/>
      <c r="B44" s="147"/>
      <c r="C44" s="279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43"/>
    </row>
    <row r="45" spans="1:26">
      <c r="A45" s="157">
        <v>0</v>
      </c>
      <c r="B45" s="152" t="s">
        <v>556</v>
      </c>
      <c r="C45" s="246"/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f>SUM(D45:O45)</f>
        <v>0</v>
      </c>
    </row>
    <row r="46" spans="1:26">
      <c r="A46" s="157">
        <v>1</v>
      </c>
      <c r="B46" s="152" t="s">
        <v>154</v>
      </c>
      <c r="C46" s="14"/>
      <c r="D46" s="14">
        <f>D8/12</f>
        <v>120.83333333333333</v>
      </c>
      <c r="E46" s="14">
        <f t="shared" ref="E46:O46" si="3">E8/12</f>
        <v>120.83333333333333</v>
      </c>
      <c r="F46" s="14">
        <f t="shared" si="3"/>
        <v>120.83333333333333</v>
      </c>
      <c r="G46" s="14">
        <f t="shared" si="3"/>
        <v>120.83333333333333</v>
      </c>
      <c r="H46" s="14">
        <f t="shared" si="3"/>
        <v>120.83333333333333</v>
      </c>
      <c r="I46" s="14">
        <f t="shared" si="3"/>
        <v>120.83333333333333</v>
      </c>
      <c r="J46" s="14">
        <f t="shared" si="3"/>
        <v>120.83333333333333</v>
      </c>
      <c r="K46" s="14">
        <f t="shared" si="3"/>
        <v>120.83333333333333</v>
      </c>
      <c r="L46" s="14">
        <f t="shared" si="3"/>
        <v>120.83333333333333</v>
      </c>
      <c r="M46" s="14">
        <f t="shared" si="3"/>
        <v>120.83333333333333</v>
      </c>
      <c r="N46" s="14">
        <f t="shared" si="3"/>
        <v>120.83333333333333</v>
      </c>
      <c r="O46" s="14">
        <f t="shared" si="3"/>
        <v>120.83333333333333</v>
      </c>
      <c r="P46" s="14">
        <f t="shared" ref="P46:P75" si="4">SUM(D46:O46)</f>
        <v>1449.9999999999998</v>
      </c>
    </row>
    <row r="47" spans="1:26">
      <c r="A47" s="157">
        <v>2</v>
      </c>
      <c r="B47" s="152" t="s">
        <v>730</v>
      </c>
      <c r="C47" s="246"/>
      <c r="D47" s="14">
        <f t="shared" ref="D47:O75" si="5">D9/12</f>
        <v>583.33333333333337</v>
      </c>
      <c r="E47" s="14">
        <f t="shared" si="5"/>
        <v>583.33333333333337</v>
      </c>
      <c r="F47" s="14">
        <f t="shared" si="5"/>
        <v>583.33333333333337</v>
      </c>
      <c r="G47" s="14">
        <f t="shared" si="5"/>
        <v>583.33333333333337</v>
      </c>
      <c r="H47" s="14">
        <f t="shared" si="5"/>
        <v>583.33333333333337</v>
      </c>
      <c r="I47" s="14">
        <f t="shared" si="5"/>
        <v>583.33333333333337</v>
      </c>
      <c r="J47" s="14">
        <f t="shared" si="5"/>
        <v>583.33333333333337</v>
      </c>
      <c r="K47" s="14">
        <f t="shared" si="5"/>
        <v>583.33333333333337</v>
      </c>
      <c r="L47" s="14">
        <f t="shared" si="5"/>
        <v>583.33333333333337</v>
      </c>
      <c r="M47" s="14">
        <f t="shared" si="5"/>
        <v>583.33333333333337</v>
      </c>
      <c r="N47" s="14">
        <f t="shared" si="5"/>
        <v>583.33333333333337</v>
      </c>
      <c r="O47" s="14">
        <f t="shared" si="5"/>
        <v>583.33333333333337</v>
      </c>
      <c r="P47" s="14">
        <f t="shared" si="4"/>
        <v>6999.9999999999991</v>
      </c>
    </row>
    <row r="48" spans="1:26">
      <c r="A48" s="157">
        <v>3</v>
      </c>
      <c r="B48" s="152" t="s">
        <v>731</v>
      </c>
      <c r="C48" s="246"/>
      <c r="D48" s="14">
        <f t="shared" si="5"/>
        <v>291.66666666666669</v>
      </c>
      <c r="E48" s="14">
        <f t="shared" si="5"/>
        <v>291.66666666666669</v>
      </c>
      <c r="F48" s="14">
        <f t="shared" si="5"/>
        <v>291.66666666666669</v>
      </c>
      <c r="G48" s="14">
        <f t="shared" si="5"/>
        <v>291.66666666666669</v>
      </c>
      <c r="H48" s="14">
        <f t="shared" si="5"/>
        <v>291.66666666666669</v>
      </c>
      <c r="I48" s="14">
        <f t="shared" si="5"/>
        <v>291.66666666666669</v>
      </c>
      <c r="J48" s="14">
        <f t="shared" si="5"/>
        <v>291.66666666666669</v>
      </c>
      <c r="K48" s="14">
        <f t="shared" si="5"/>
        <v>291.66666666666669</v>
      </c>
      <c r="L48" s="14">
        <f t="shared" si="5"/>
        <v>333.33333333333331</v>
      </c>
      <c r="M48" s="14">
        <f t="shared" si="5"/>
        <v>333.33333333333331</v>
      </c>
      <c r="N48" s="14">
        <f t="shared" si="5"/>
        <v>333.33333333333331</v>
      </c>
      <c r="O48" s="14">
        <f t="shared" si="5"/>
        <v>333.33333333333331</v>
      </c>
      <c r="P48" s="14">
        <f t="shared" si="4"/>
        <v>3666.6666666666674</v>
      </c>
    </row>
    <row r="49" spans="1:16">
      <c r="A49" s="151"/>
      <c r="B49" s="152"/>
      <c r="C49" s="246"/>
      <c r="D49" s="14">
        <f t="shared" si="5"/>
        <v>0</v>
      </c>
      <c r="E49" s="14">
        <f t="shared" si="5"/>
        <v>0</v>
      </c>
      <c r="F49" s="14">
        <f t="shared" si="5"/>
        <v>0</v>
      </c>
      <c r="G49" s="14">
        <f t="shared" si="5"/>
        <v>0</v>
      </c>
      <c r="H49" s="14">
        <f t="shared" si="5"/>
        <v>0</v>
      </c>
      <c r="I49" s="14">
        <f t="shared" si="5"/>
        <v>0</v>
      </c>
      <c r="J49" s="14">
        <f t="shared" si="5"/>
        <v>0</v>
      </c>
      <c r="K49" s="14">
        <f t="shared" si="5"/>
        <v>0</v>
      </c>
      <c r="L49" s="14">
        <f t="shared" si="5"/>
        <v>0</v>
      </c>
      <c r="M49" s="14">
        <f t="shared" si="5"/>
        <v>0</v>
      </c>
      <c r="N49" s="14">
        <f t="shared" si="5"/>
        <v>0</v>
      </c>
      <c r="O49" s="14">
        <f t="shared" si="5"/>
        <v>0</v>
      </c>
      <c r="P49" s="14">
        <f t="shared" si="4"/>
        <v>0</v>
      </c>
    </row>
    <row r="50" spans="1:16">
      <c r="A50" s="151"/>
      <c r="B50" s="152"/>
      <c r="C50" s="246"/>
      <c r="D50" s="14">
        <f t="shared" si="5"/>
        <v>0</v>
      </c>
      <c r="E50" s="14">
        <f t="shared" si="5"/>
        <v>0</v>
      </c>
      <c r="F50" s="14">
        <f t="shared" si="5"/>
        <v>0</v>
      </c>
      <c r="G50" s="14">
        <f t="shared" si="5"/>
        <v>0</v>
      </c>
      <c r="H50" s="14">
        <f t="shared" si="5"/>
        <v>0</v>
      </c>
      <c r="I50" s="14">
        <f t="shared" si="5"/>
        <v>0</v>
      </c>
      <c r="J50" s="14">
        <f t="shared" si="5"/>
        <v>0</v>
      </c>
      <c r="K50" s="14">
        <f t="shared" si="5"/>
        <v>0</v>
      </c>
      <c r="L50" s="14">
        <f t="shared" si="5"/>
        <v>0</v>
      </c>
      <c r="M50" s="14">
        <f t="shared" si="5"/>
        <v>0</v>
      </c>
      <c r="N50" s="14">
        <f t="shared" si="5"/>
        <v>0</v>
      </c>
      <c r="O50" s="14">
        <f t="shared" si="5"/>
        <v>0</v>
      </c>
      <c r="P50" s="14">
        <f t="shared" si="4"/>
        <v>0</v>
      </c>
    </row>
    <row r="51" spans="1:16">
      <c r="A51" s="151"/>
      <c r="B51" s="147" t="s">
        <v>166</v>
      </c>
      <c r="C51" s="246"/>
      <c r="D51" s="14">
        <f t="shared" si="5"/>
        <v>0</v>
      </c>
      <c r="E51" s="14">
        <f t="shared" si="5"/>
        <v>0</v>
      </c>
      <c r="F51" s="14">
        <f t="shared" si="5"/>
        <v>0</v>
      </c>
      <c r="G51" s="14">
        <f t="shared" si="5"/>
        <v>0</v>
      </c>
      <c r="H51" s="14">
        <f t="shared" si="5"/>
        <v>0</v>
      </c>
      <c r="I51" s="14">
        <f t="shared" si="5"/>
        <v>0</v>
      </c>
      <c r="J51" s="14">
        <f t="shared" si="5"/>
        <v>0</v>
      </c>
      <c r="K51" s="14">
        <f t="shared" si="5"/>
        <v>0</v>
      </c>
      <c r="L51" s="14">
        <f t="shared" si="5"/>
        <v>0</v>
      </c>
      <c r="M51" s="14">
        <f t="shared" si="5"/>
        <v>0</v>
      </c>
      <c r="N51" s="14">
        <f t="shared" si="5"/>
        <v>0</v>
      </c>
      <c r="O51" s="14">
        <f t="shared" si="5"/>
        <v>0</v>
      </c>
      <c r="P51" s="14">
        <f t="shared" si="4"/>
        <v>0</v>
      </c>
    </row>
    <row r="52" spans="1:16">
      <c r="A52" s="151"/>
      <c r="B52" s="147"/>
      <c r="C52" s="279"/>
      <c r="D52" s="14">
        <f t="shared" si="5"/>
        <v>0</v>
      </c>
      <c r="E52" s="14">
        <f t="shared" si="5"/>
        <v>0</v>
      </c>
      <c r="F52" s="14">
        <f t="shared" si="5"/>
        <v>0</v>
      </c>
      <c r="G52" s="14">
        <f t="shared" si="5"/>
        <v>0</v>
      </c>
      <c r="H52" s="14">
        <f t="shared" si="5"/>
        <v>0</v>
      </c>
      <c r="I52" s="14">
        <f t="shared" si="5"/>
        <v>0</v>
      </c>
      <c r="J52" s="14">
        <f t="shared" si="5"/>
        <v>0</v>
      </c>
      <c r="K52" s="14">
        <f t="shared" si="5"/>
        <v>0</v>
      </c>
      <c r="L52" s="14">
        <f t="shared" si="5"/>
        <v>0</v>
      </c>
      <c r="M52" s="14">
        <f t="shared" si="5"/>
        <v>0</v>
      </c>
      <c r="N52" s="14">
        <f t="shared" si="5"/>
        <v>0</v>
      </c>
      <c r="O52" s="14">
        <f t="shared" si="5"/>
        <v>0</v>
      </c>
      <c r="P52" s="14">
        <f t="shared" si="4"/>
        <v>0</v>
      </c>
    </row>
    <row r="53" spans="1:16">
      <c r="A53" s="151">
        <v>4</v>
      </c>
      <c r="B53" s="152" t="s">
        <v>156</v>
      </c>
      <c r="C53" s="279"/>
      <c r="D53" s="14">
        <f t="shared" si="5"/>
        <v>750</v>
      </c>
      <c r="E53" s="14">
        <f t="shared" si="5"/>
        <v>750</v>
      </c>
      <c r="F53" s="14">
        <f t="shared" si="5"/>
        <v>750</v>
      </c>
      <c r="G53" s="14">
        <f t="shared" si="5"/>
        <v>750</v>
      </c>
      <c r="H53" s="14">
        <f t="shared" si="5"/>
        <v>750</v>
      </c>
      <c r="I53" s="14">
        <f t="shared" si="5"/>
        <v>750</v>
      </c>
      <c r="J53" s="14">
        <f t="shared" si="5"/>
        <v>750</v>
      </c>
      <c r="K53" s="14">
        <f t="shared" si="5"/>
        <v>750</v>
      </c>
      <c r="L53" s="14">
        <f t="shared" si="5"/>
        <v>750</v>
      </c>
      <c r="M53" s="14">
        <f t="shared" si="5"/>
        <v>750</v>
      </c>
      <c r="N53" s="14">
        <f t="shared" si="5"/>
        <v>750</v>
      </c>
      <c r="O53" s="14">
        <f t="shared" si="5"/>
        <v>750</v>
      </c>
      <c r="P53" s="14">
        <f t="shared" si="4"/>
        <v>9000</v>
      </c>
    </row>
    <row r="54" spans="1:16">
      <c r="A54" s="151">
        <v>5</v>
      </c>
      <c r="B54" s="152"/>
      <c r="C54" s="246"/>
      <c r="D54" s="14">
        <f t="shared" si="5"/>
        <v>0</v>
      </c>
      <c r="E54" s="14">
        <f t="shared" si="5"/>
        <v>0</v>
      </c>
      <c r="F54" s="14">
        <f t="shared" si="5"/>
        <v>0</v>
      </c>
      <c r="G54" s="14">
        <f t="shared" si="5"/>
        <v>0</v>
      </c>
      <c r="H54" s="14">
        <f t="shared" si="5"/>
        <v>0</v>
      </c>
      <c r="I54" s="14">
        <f t="shared" si="5"/>
        <v>0</v>
      </c>
      <c r="J54" s="14">
        <f t="shared" si="5"/>
        <v>0</v>
      </c>
      <c r="K54" s="14">
        <f t="shared" si="5"/>
        <v>0</v>
      </c>
      <c r="L54" s="14">
        <f t="shared" si="5"/>
        <v>0</v>
      </c>
      <c r="M54" s="14">
        <f t="shared" si="5"/>
        <v>0</v>
      </c>
      <c r="N54" s="14">
        <f t="shared" si="5"/>
        <v>0</v>
      </c>
      <c r="O54" s="14">
        <f t="shared" si="5"/>
        <v>0</v>
      </c>
      <c r="P54" s="14">
        <f t="shared" si="4"/>
        <v>0</v>
      </c>
    </row>
    <row r="55" spans="1:16">
      <c r="A55" s="151">
        <v>6</v>
      </c>
      <c r="B55" s="152" t="s">
        <v>732</v>
      </c>
      <c r="C55" s="246"/>
      <c r="D55" s="14">
        <f t="shared" si="5"/>
        <v>562.5</v>
      </c>
      <c r="E55" s="14">
        <f t="shared" si="5"/>
        <v>562.5</v>
      </c>
      <c r="F55" s="14">
        <f t="shared" si="5"/>
        <v>562.5</v>
      </c>
      <c r="G55" s="14">
        <f t="shared" si="5"/>
        <v>562.5</v>
      </c>
      <c r="H55" s="14">
        <f t="shared" si="5"/>
        <v>562.5</v>
      </c>
      <c r="I55" s="14">
        <f t="shared" si="5"/>
        <v>562.5</v>
      </c>
      <c r="J55" s="14">
        <f t="shared" si="5"/>
        <v>562.5</v>
      </c>
      <c r="K55" s="14">
        <f t="shared" si="5"/>
        <v>562.5</v>
      </c>
      <c r="L55" s="14">
        <f t="shared" si="5"/>
        <v>562.5</v>
      </c>
      <c r="M55" s="14">
        <f t="shared" si="5"/>
        <v>562.5</v>
      </c>
      <c r="N55" s="14">
        <f t="shared" si="5"/>
        <v>562.5</v>
      </c>
      <c r="O55" s="14">
        <f t="shared" si="5"/>
        <v>562.5</v>
      </c>
      <c r="P55" s="14">
        <f t="shared" si="4"/>
        <v>6750</v>
      </c>
    </row>
    <row r="56" spans="1:16">
      <c r="A56" s="151">
        <v>7</v>
      </c>
      <c r="B56" s="152" t="s">
        <v>163</v>
      </c>
      <c r="C56" s="246"/>
      <c r="D56" s="14">
        <f t="shared" si="5"/>
        <v>400</v>
      </c>
      <c r="E56" s="14">
        <f t="shared" si="5"/>
        <v>400</v>
      </c>
      <c r="F56" s="14">
        <f t="shared" si="5"/>
        <v>400</v>
      </c>
      <c r="G56" s="14">
        <f t="shared" si="5"/>
        <v>400</v>
      </c>
      <c r="H56" s="14">
        <f t="shared" si="5"/>
        <v>400</v>
      </c>
      <c r="I56" s="14">
        <f t="shared" si="5"/>
        <v>400</v>
      </c>
      <c r="J56" s="14">
        <f t="shared" si="5"/>
        <v>400</v>
      </c>
      <c r="K56" s="14">
        <f t="shared" si="5"/>
        <v>400</v>
      </c>
      <c r="L56" s="14">
        <f t="shared" si="5"/>
        <v>400</v>
      </c>
      <c r="M56" s="14">
        <f t="shared" si="5"/>
        <v>400</v>
      </c>
      <c r="N56" s="14">
        <f t="shared" si="5"/>
        <v>400</v>
      </c>
      <c r="O56" s="14">
        <f t="shared" si="5"/>
        <v>400</v>
      </c>
      <c r="P56" s="14">
        <f t="shared" si="4"/>
        <v>4800</v>
      </c>
    </row>
    <row r="57" spans="1:16">
      <c r="A57" s="151">
        <v>8</v>
      </c>
      <c r="B57" s="152" t="s">
        <v>733</v>
      </c>
      <c r="C57" s="246"/>
      <c r="D57" s="14">
        <f t="shared" si="5"/>
        <v>333.33333333333331</v>
      </c>
      <c r="E57" s="14">
        <f t="shared" si="5"/>
        <v>333.33333333333331</v>
      </c>
      <c r="F57" s="14">
        <f t="shared" si="5"/>
        <v>333.33333333333331</v>
      </c>
      <c r="G57" s="14">
        <f t="shared" si="5"/>
        <v>333.33333333333331</v>
      </c>
      <c r="H57" s="14">
        <f t="shared" si="5"/>
        <v>333.33333333333331</v>
      </c>
      <c r="I57" s="14">
        <f t="shared" si="5"/>
        <v>333.33333333333331</v>
      </c>
      <c r="J57" s="14">
        <f t="shared" si="5"/>
        <v>333.33333333333331</v>
      </c>
      <c r="K57" s="14">
        <f t="shared" si="5"/>
        <v>333.33333333333331</v>
      </c>
      <c r="L57" s="14">
        <f t="shared" si="5"/>
        <v>333.33333333333331</v>
      </c>
      <c r="M57" s="14">
        <f t="shared" si="5"/>
        <v>333.33333333333331</v>
      </c>
      <c r="N57" s="14">
        <f t="shared" si="5"/>
        <v>333.33333333333331</v>
      </c>
      <c r="O57" s="14">
        <f t="shared" si="5"/>
        <v>333.33333333333331</v>
      </c>
      <c r="P57" s="14">
        <f t="shared" si="4"/>
        <v>4000.0000000000005</v>
      </c>
    </row>
    <row r="58" spans="1:16">
      <c r="A58" s="151">
        <v>9</v>
      </c>
      <c r="B58" s="152" t="s">
        <v>734</v>
      </c>
      <c r="C58" s="246"/>
      <c r="D58" s="14">
        <f t="shared" si="5"/>
        <v>437.5</v>
      </c>
      <c r="E58" s="14">
        <f t="shared" si="5"/>
        <v>437.5</v>
      </c>
      <c r="F58" s="14">
        <f t="shared" si="5"/>
        <v>437.5</v>
      </c>
      <c r="G58" s="14">
        <f t="shared" si="5"/>
        <v>437.5</v>
      </c>
      <c r="H58" s="14">
        <f t="shared" si="5"/>
        <v>437.5</v>
      </c>
      <c r="I58" s="14">
        <f t="shared" si="5"/>
        <v>437.5</v>
      </c>
      <c r="J58" s="14">
        <f t="shared" si="5"/>
        <v>437.5</v>
      </c>
      <c r="K58" s="14">
        <f t="shared" si="5"/>
        <v>437.5</v>
      </c>
      <c r="L58" s="14">
        <f t="shared" si="5"/>
        <v>437.5</v>
      </c>
      <c r="M58" s="14">
        <f t="shared" si="5"/>
        <v>437.5</v>
      </c>
      <c r="N58" s="14">
        <f t="shared" si="5"/>
        <v>437.5</v>
      </c>
      <c r="O58" s="14">
        <f t="shared" si="5"/>
        <v>437.5</v>
      </c>
      <c r="P58" s="14">
        <f t="shared" si="4"/>
        <v>5250</v>
      </c>
    </row>
    <row r="59" spans="1:16">
      <c r="A59" s="151">
        <v>10</v>
      </c>
      <c r="B59" s="152" t="s">
        <v>735</v>
      </c>
      <c r="C59" s="246"/>
      <c r="D59" s="14">
        <f t="shared" si="5"/>
        <v>208.33333333333334</v>
      </c>
      <c r="E59" s="14">
        <f t="shared" si="5"/>
        <v>208.33333333333334</v>
      </c>
      <c r="F59" s="14">
        <f t="shared" si="5"/>
        <v>208.33333333333334</v>
      </c>
      <c r="G59" s="14">
        <f t="shared" si="5"/>
        <v>208.33333333333334</v>
      </c>
      <c r="H59" s="14">
        <f t="shared" si="5"/>
        <v>208.33333333333334</v>
      </c>
      <c r="I59" s="14">
        <f t="shared" si="5"/>
        <v>208.33333333333334</v>
      </c>
      <c r="J59" s="14">
        <f t="shared" si="5"/>
        <v>208.33333333333334</v>
      </c>
      <c r="K59" s="14">
        <f t="shared" si="5"/>
        <v>208.33333333333334</v>
      </c>
      <c r="L59" s="14">
        <f t="shared" si="5"/>
        <v>208.33333333333334</v>
      </c>
      <c r="M59" s="14">
        <f t="shared" si="5"/>
        <v>208.33333333333334</v>
      </c>
      <c r="N59" s="14">
        <f t="shared" si="5"/>
        <v>208.33333333333334</v>
      </c>
      <c r="O59" s="14">
        <f t="shared" si="5"/>
        <v>208.33333333333334</v>
      </c>
      <c r="P59" s="14">
        <f t="shared" si="4"/>
        <v>2500</v>
      </c>
    </row>
    <row r="60" spans="1:16">
      <c r="A60" s="151">
        <v>11</v>
      </c>
      <c r="B60" s="152" t="s">
        <v>736</v>
      </c>
      <c r="C60" s="246"/>
      <c r="D60" s="14">
        <f t="shared" si="5"/>
        <v>520.83333333333337</v>
      </c>
      <c r="E60" s="14">
        <f t="shared" si="5"/>
        <v>520.83333333333337</v>
      </c>
      <c r="F60" s="14">
        <f t="shared" si="5"/>
        <v>520.83333333333337</v>
      </c>
      <c r="G60" s="14">
        <f t="shared" si="5"/>
        <v>520.83333333333337</v>
      </c>
      <c r="H60" s="14">
        <f t="shared" si="5"/>
        <v>520.83333333333337</v>
      </c>
      <c r="I60" s="14">
        <f t="shared" si="5"/>
        <v>520.83333333333337</v>
      </c>
      <c r="J60" s="14">
        <f t="shared" si="5"/>
        <v>520.83333333333337</v>
      </c>
      <c r="K60" s="14">
        <f t="shared" si="5"/>
        <v>520.83333333333337</v>
      </c>
      <c r="L60" s="14">
        <f t="shared" si="5"/>
        <v>520.83333333333337</v>
      </c>
      <c r="M60" s="14">
        <f t="shared" si="5"/>
        <v>520.83333333333337</v>
      </c>
      <c r="N60" s="14">
        <f t="shared" si="5"/>
        <v>520.83333333333337</v>
      </c>
      <c r="O60" s="14">
        <f t="shared" si="5"/>
        <v>520.83333333333337</v>
      </c>
      <c r="P60" s="14">
        <f t="shared" si="4"/>
        <v>6249.9999999999991</v>
      </c>
    </row>
    <row r="61" spans="1:16">
      <c r="A61" s="151">
        <v>12</v>
      </c>
      <c r="B61" s="152" t="s">
        <v>739</v>
      </c>
      <c r="C61" s="246"/>
      <c r="D61" s="14">
        <f t="shared" si="5"/>
        <v>0</v>
      </c>
      <c r="E61" s="14">
        <f t="shared" si="5"/>
        <v>0</v>
      </c>
      <c r="F61" s="14">
        <f t="shared" si="5"/>
        <v>0</v>
      </c>
      <c r="G61" s="14">
        <f t="shared" si="5"/>
        <v>0</v>
      </c>
      <c r="H61" s="14">
        <f t="shared" si="5"/>
        <v>0</v>
      </c>
      <c r="I61" s="14">
        <f t="shared" si="5"/>
        <v>0</v>
      </c>
      <c r="J61" s="14">
        <f t="shared" si="5"/>
        <v>0</v>
      </c>
      <c r="K61" s="14">
        <f t="shared" si="5"/>
        <v>0</v>
      </c>
      <c r="L61" s="14">
        <f t="shared" si="5"/>
        <v>1000</v>
      </c>
      <c r="M61" s="14">
        <f t="shared" si="5"/>
        <v>1000</v>
      </c>
      <c r="N61" s="14">
        <f t="shared" si="5"/>
        <v>1000</v>
      </c>
      <c r="O61" s="14">
        <f t="shared" si="5"/>
        <v>1000</v>
      </c>
      <c r="P61" s="14">
        <f t="shared" si="4"/>
        <v>4000</v>
      </c>
    </row>
    <row r="62" spans="1:16">
      <c r="A62" s="151">
        <v>13</v>
      </c>
      <c r="B62" s="152" t="s">
        <v>804</v>
      </c>
      <c r="C62" s="246"/>
      <c r="D62" s="14">
        <f t="shared" si="5"/>
        <v>583.33333333333337</v>
      </c>
      <c r="E62" s="14">
        <f t="shared" si="5"/>
        <v>583.33333333333337</v>
      </c>
      <c r="F62" s="14">
        <f t="shared" si="5"/>
        <v>583.33333333333337</v>
      </c>
      <c r="G62" s="14">
        <f t="shared" si="5"/>
        <v>583.33333333333337</v>
      </c>
      <c r="H62" s="14">
        <f t="shared" si="5"/>
        <v>583.33333333333337</v>
      </c>
      <c r="I62" s="14">
        <f t="shared" si="5"/>
        <v>583.33333333333337</v>
      </c>
      <c r="J62" s="14">
        <f t="shared" si="5"/>
        <v>583.33333333333337</v>
      </c>
      <c r="K62" s="14">
        <f>+J62</f>
        <v>583.33333333333337</v>
      </c>
      <c r="L62" s="14">
        <f t="shared" si="5"/>
        <v>583.33333333333337</v>
      </c>
      <c r="M62" s="14">
        <f>+L62</f>
        <v>583.33333333333337</v>
      </c>
      <c r="N62" s="14">
        <f t="shared" si="5"/>
        <v>583.33333333333337</v>
      </c>
      <c r="O62" s="14">
        <f>+N62</f>
        <v>583.33333333333337</v>
      </c>
      <c r="P62" s="14">
        <f t="shared" si="4"/>
        <v>6999.9999999999991</v>
      </c>
    </row>
    <row r="63" spans="1:16">
      <c r="A63" s="151"/>
      <c r="B63" s="152"/>
      <c r="C63" s="246"/>
      <c r="D63" s="14">
        <f t="shared" si="5"/>
        <v>0</v>
      </c>
      <c r="E63" s="14">
        <f t="shared" si="5"/>
        <v>0</v>
      </c>
      <c r="F63" s="14">
        <f t="shared" si="5"/>
        <v>0</v>
      </c>
      <c r="G63" s="14">
        <f t="shared" si="5"/>
        <v>0</v>
      </c>
      <c r="H63" s="14">
        <f t="shared" si="5"/>
        <v>0</v>
      </c>
      <c r="I63" s="14">
        <f t="shared" si="5"/>
        <v>0</v>
      </c>
      <c r="J63" s="14">
        <f t="shared" si="5"/>
        <v>0</v>
      </c>
      <c r="K63" s="14">
        <f t="shared" si="5"/>
        <v>0</v>
      </c>
      <c r="L63" s="14">
        <f t="shared" si="5"/>
        <v>0</v>
      </c>
      <c r="M63" s="14">
        <f t="shared" si="5"/>
        <v>0</v>
      </c>
      <c r="N63" s="14">
        <f t="shared" si="5"/>
        <v>0</v>
      </c>
      <c r="O63" s="14">
        <f t="shared" si="5"/>
        <v>0</v>
      </c>
      <c r="P63" s="14">
        <f t="shared" si="4"/>
        <v>0</v>
      </c>
    </row>
    <row r="64" spans="1:16">
      <c r="A64" s="151"/>
      <c r="B64" s="147" t="s">
        <v>168</v>
      </c>
      <c r="C64" s="246"/>
      <c r="D64" s="14">
        <f t="shared" si="5"/>
        <v>0</v>
      </c>
      <c r="E64" s="14">
        <f t="shared" si="5"/>
        <v>0</v>
      </c>
      <c r="F64" s="14">
        <f t="shared" si="5"/>
        <v>0</v>
      </c>
      <c r="G64" s="14">
        <f t="shared" si="5"/>
        <v>0</v>
      </c>
      <c r="H64" s="14">
        <f t="shared" si="5"/>
        <v>0</v>
      </c>
      <c r="I64" s="14">
        <f t="shared" si="5"/>
        <v>0</v>
      </c>
      <c r="J64" s="14">
        <f t="shared" si="5"/>
        <v>0</v>
      </c>
      <c r="K64" s="14">
        <f t="shared" si="5"/>
        <v>0</v>
      </c>
      <c r="L64" s="14">
        <f t="shared" si="5"/>
        <v>0</v>
      </c>
      <c r="M64" s="14">
        <f t="shared" si="5"/>
        <v>0</v>
      </c>
      <c r="N64" s="14">
        <f t="shared" si="5"/>
        <v>0</v>
      </c>
      <c r="O64" s="14">
        <f t="shared" si="5"/>
        <v>0</v>
      </c>
      <c r="P64" s="14">
        <f t="shared" si="4"/>
        <v>0</v>
      </c>
    </row>
    <row r="65" spans="1:20">
      <c r="A65" s="151"/>
      <c r="B65" s="147"/>
      <c r="C65" s="279"/>
      <c r="D65" s="14">
        <f t="shared" si="5"/>
        <v>0</v>
      </c>
      <c r="E65" s="14">
        <f t="shared" si="5"/>
        <v>0</v>
      </c>
      <c r="F65" s="14">
        <f t="shared" si="5"/>
        <v>0</v>
      </c>
      <c r="G65" s="14">
        <f t="shared" si="5"/>
        <v>0</v>
      </c>
      <c r="H65" s="14">
        <f t="shared" si="5"/>
        <v>0</v>
      </c>
      <c r="I65" s="14">
        <f t="shared" si="5"/>
        <v>0</v>
      </c>
      <c r="J65" s="14">
        <f t="shared" si="5"/>
        <v>0</v>
      </c>
      <c r="K65" s="14">
        <f t="shared" si="5"/>
        <v>0</v>
      </c>
      <c r="L65" s="14">
        <f t="shared" si="5"/>
        <v>0</v>
      </c>
      <c r="M65" s="14">
        <f t="shared" si="5"/>
        <v>0</v>
      </c>
      <c r="N65" s="14">
        <f t="shared" si="5"/>
        <v>0</v>
      </c>
      <c r="O65" s="14">
        <f t="shared" ref="E65:O75" si="6">O27/12</f>
        <v>0</v>
      </c>
      <c r="P65" s="14">
        <f t="shared" si="4"/>
        <v>0</v>
      </c>
    </row>
    <row r="66" spans="1:20">
      <c r="A66" s="151">
        <v>15</v>
      </c>
      <c r="B66" s="152" t="s">
        <v>161</v>
      </c>
      <c r="C66" s="279"/>
      <c r="D66" s="14">
        <f t="shared" si="5"/>
        <v>708.33333333333337</v>
      </c>
      <c r="E66" s="14">
        <f t="shared" si="6"/>
        <v>708.33333333333337</v>
      </c>
      <c r="F66" s="14">
        <f t="shared" si="6"/>
        <v>708.33333333333337</v>
      </c>
      <c r="G66" s="14">
        <f t="shared" si="6"/>
        <v>708.33333333333337</v>
      </c>
      <c r="H66" s="14">
        <f t="shared" si="6"/>
        <v>708.33333333333337</v>
      </c>
      <c r="I66" s="14">
        <f t="shared" si="6"/>
        <v>708.33333333333337</v>
      </c>
      <c r="J66" s="14">
        <f t="shared" si="6"/>
        <v>708.33333333333337</v>
      </c>
      <c r="K66" s="14">
        <f t="shared" si="6"/>
        <v>708.33333333333337</v>
      </c>
      <c r="L66" s="14">
        <f t="shared" si="6"/>
        <v>708.33333333333337</v>
      </c>
      <c r="M66" s="14">
        <f t="shared" si="6"/>
        <v>708.33333333333337</v>
      </c>
      <c r="N66" s="14">
        <f t="shared" si="6"/>
        <v>708.33333333333337</v>
      </c>
      <c r="O66" s="14">
        <f t="shared" si="6"/>
        <v>708.33333333333337</v>
      </c>
      <c r="P66" s="14">
        <f t="shared" si="4"/>
        <v>8499.9999999999982</v>
      </c>
    </row>
    <row r="67" spans="1:20">
      <c r="A67" s="151">
        <v>16</v>
      </c>
      <c r="B67" s="152" t="s">
        <v>155</v>
      </c>
      <c r="C67" s="246"/>
      <c r="D67" s="14">
        <f t="shared" si="5"/>
        <v>750</v>
      </c>
      <c r="E67" s="14">
        <f t="shared" si="6"/>
        <v>750</v>
      </c>
      <c r="F67" s="14">
        <f t="shared" si="6"/>
        <v>750</v>
      </c>
      <c r="G67" s="14">
        <f t="shared" si="6"/>
        <v>750</v>
      </c>
      <c r="H67" s="14">
        <f t="shared" si="6"/>
        <v>750</v>
      </c>
      <c r="I67" s="14">
        <f t="shared" si="6"/>
        <v>750</v>
      </c>
      <c r="J67" s="14">
        <f t="shared" si="6"/>
        <v>750</v>
      </c>
      <c r="K67" s="14">
        <f t="shared" si="6"/>
        <v>750</v>
      </c>
      <c r="L67" s="14">
        <f t="shared" si="6"/>
        <v>750</v>
      </c>
      <c r="M67" s="14">
        <f t="shared" si="6"/>
        <v>750</v>
      </c>
      <c r="N67" s="14">
        <f t="shared" si="6"/>
        <v>750</v>
      </c>
      <c r="O67" s="14">
        <f t="shared" si="6"/>
        <v>750</v>
      </c>
      <c r="P67" s="14">
        <f t="shared" si="4"/>
        <v>9000</v>
      </c>
    </row>
    <row r="68" spans="1:20">
      <c r="A68" s="151">
        <v>17</v>
      </c>
      <c r="B68" s="152" t="s">
        <v>575</v>
      </c>
      <c r="C68" s="246"/>
      <c r="D68" s="14">
        <f t="shared" si="5"/>
        <v>333.33333333333331</v>
      </c>
      <c r="E68" s="14">
        <f t="shared" si="6"/>
        <v>333.33333333333331</v>
      </c>
      <c r="F68" s="14">
        <f t="shared" si="6"/>
        <v>333.33333333333331</v>
      </c>
      <c r="G68" s="14">
        <f t="shared" si="6"/>
        <v>333.33333333333331</v>
      </c>
      <c r="H68" s="14">
        <f t="shared" si="6"/>
        <v>333.33333333333331</v>
      </c>
      <c r="I68" s="14">
        <f t="shared" si="6"/>
        <v>333.33333333333331</v>
      </c>
      <c r="J68" s="14">
        <f t="shared" si="6"/>
        <v>333.33333333333331</v>
      </c>
      <c r="K68" s="14">
        <f t="shared" si="6"/>
        <v>333.33333333333331</v>
      </c>
      <c r="L68" s="14">
        <f t="shared" si="6"/>
        <v>333.33333333333331</v>
      </c>
      <c r="M68" s="14">
        <f t="shared" si="6"/>
        <v>333.33333333333331</v>
      </c>
      <c r="N68" s="14">
        <f t="shared" si="6"/>
        <v>333.33333333333331</v>
      </c>
      <c r="O68" s="14">
        <f t="shared" si="6"/>
        <v>333.33333333333331</v>
      </c>
      <c r="P68" s="14">
        <f t="shared" si="4"/>
        <v>4000.0000000000005</v>
      </c>
    </row>
    <row r="69" spans="1:20">
      <c r="A69" s="151">
        <v>18</v>
      </c>
      <c r="B69" s="152" t="s">
        <v>159</v>
      </c>
      <c r="C69" s="246"/>
      <c r="D69" s="14">
        <f t="shared" si="5"/>
        <v>520.83333333333337</v>
      </c>
      <c r="E69" s="14">
        <f t="shared" si="6"/>
        <v>520.83333333333337</v>
      </c>
      <c r="F69" s="14">
        <f t="shared" si="6"/>
        <v>520.83333333333337</v>
      </c>
      <c r="G69" s="14">
        <f t="shared" si="6"/>
        <v>520.83333333333337</v>
      </c>
      <c r="H69" s="14">
        <f t="shared" si="6"/>
        <v>520.83333333333337</v>
      </c>
      <c r="I69" s="14">
        <f t="shared" si="6"/>
        <v>520.83333333333337</v>
      </c>
      <c r="J69" s="14">
        <f t="shared" si="6"/>
        <v>520.83333333333337</v>
      </c>
      <c r="K69" s="14">
        <f t="shared" si="6"/>
        <v>520.83333333333337</v>
      </c>
      <c r="L69" s="14">
        <f t="shared" si="6"/>
        <v>520.83333333333337</v>
      </c>
      <c r="M69" s="14">
        <f t="shared" si="6"/>
        <v>520.83333333333337</v>
      </c>
      <c r="N69" s="14">
        <f t="shared" si="6"/>
        <v>520.83333333333337</v>
      </c>
      <c r="O69" s="14">
        <f t="shared" si="6"/>
        <v>520.83333333333337</v>
      </c>
      <c r="P69" s="14">
        <f t="shared" si="4"/>
        <v>6249.9999999999991</v>
      </c>
    </row>
    <row r="70" spans="1:20">
      <c r="A70" s="151">
        <v>19</v>
      </c>
      <c r="B70" s="152" t="s">
        <v>160</v>
      </c>
      <c r="C70" s="246"/>
      <c r="D70" s="14">
        <f t="shared" si="5"/>
        <v>625</v>
      </c>
      <c r="E70" s="14">
        <f t="shared" si="6"/>
        <v>625</v>
      </c>
      <c r="F70" s="14">
        <f t="shared" si="6"/>
        <v>625</v>
      </c>
      <c r="G70" s="14">
        <f t="shared" si="6"/>
        <v>625</v>
      </c>
      <c r="H70" s="14">
        <f t="shared" si="6"/>
        <v>625</v>
      </c>
      <c r="I70" s="14">
        <f t="shared" si="6"/>
        <v>625</v>
      </c>
      <c r="J70" s="14">
        <f t="shared" si="6"/>
        <v>625</v>
      </c>
      <c r="K70" s="14">
        <f t="shared" si="6"/>
        <v>625</v>
      </c>
      <c r="L70" s="14">
        <f t="shared" si="6"/>
        <v>625</v>
      </c>
      <c r="M70" s="14">
        <f t="shared" si="6"/>
        <v>625</v>
      </c>
      <c r="N70" s="14">
        <f t="shared" si="6"/>
        <v>625</v>
      </c>
      <c r="O70" s="14">
        <f t="shared" si="6"/>
        <v>625</v>
      </c>
      <c r="P70" s="14">
        <f t="shared" si="4"/>
        <v>7500</v>
      </c>
    </row>
    <row r="71" spans="1:20">
      <c r="A71" s="151">
        <v>20</v>
      </c>
      <c r="B71" s="152" t="s">
        <v>165</v>
      </c>
      <c r="C71" s="246"/>
      <c r="D71" s="14">
        <f t="shared" si="5"/>
        <v>687.5</v>
      </c>
      <c r="E71" s="14">
        <f t="shared" si="6"/>
        <v>687.5</v>
      </c>
      <c r="F71" s="14">
        <f t="shared" si="6"/>
        <v>687.5</v>
      </c>
      <c r="G71" s="14">
        <f t="shared" si="6"/>
        <v>687.5</v>
      </c>
      <c r="H71" s="14">
        <f t="shared" si="6"/>
        <v>687.5</v>
      </c>
      <c r="I71" s="14">
        <f t="shared" si="6"/>
        <v>687.5</v>
      </c>
      <c r="J71" s="14">
        <f t="shared" si="6"/>
        <v>687.5</v>
      </c>
      <c r="K71" s="14">
        <f t="shared" si="6"/>
        <v>687.5</v>
      </c>
      <c r="L71" s="14">
        <f t="shared" si="6"/>
        <v>687.5</v>
      </c>
      <c r="M71" s="14">
        <f t="shared" si="6"/>
        <v>687.5</v>
      </c>
      <c r="N71" s="14">
        <f t="shared" si="6"/>
        <v>687.5</v>
      </c>
      <c r="O71" s="14">
        <f t="shared" si="6"/>
        <v>687.5</v>
      </c>
      <c r="P71" s="14">
        <f t="shared" si="4"/>
        <v>8250</v>
      </c>
    </row>
    <row r="72" spans="1:20">
      <c r="A72" s="151">
        <v>21</v>
      </c>
      <c r="B72" s="152" t="s">
        <v>737</v>
      </c>
      <c r="C72" s="246"/>
      <c r="D72" s="14">
        <f t="shared" si="5"/>
        <v>458.33333333333331</v>
      </c>
      <c r="E72" s="14">
        <f t="shared" si="6"/>
        <v>458.33333333333331</v>
      </c>
      <c r="F72" s="14">
        <f t="shared" si="6"/>
        <v>458.33333333333331</v>
      </c>
      <c r="G72" s="14">
        <f t="shared" si="6"/>
        <v>458.33333333333331</v>
      </c>
      <c r="H72" s="14">
        <f t="shared" si="6"/>
        <v>458.33333333333331</v>
      </c>
      <c r="I72" s="14">
        <f t="shared" si="6"/>
        <v>458.33333333333331</v>
      </c>
      <c r="J72" s="14">
        <f t="shared" si="6"/>
        <v>458.33333333333331</v>
      </c>
      <c r="K72" s="14">
        <f t="shared" si="6"/>
        <v>458.33333333333331</v>
      </c>
      <c r="L72" s="14">
        <f t="shared" si="6"/>
        <v>458.33333333333331</v>
      </c>
      <c r="M72" s="14">
        <f t="shared" si="6"/>
        <v>458.33333333333331</v>
      </c>
      <c r="N72" s="14">
        <f t="shared" si="6"/>
        <v>458.33333333333331</v>
      </c>
      <c r="O72" s="14">
        <f t="shared" si="6"/>
        <v>458.33333333333331</v>
      </c>
      <c r="P72" s="14">
        <f t="shared" si="4"/>
        <v>5499.9999999999991</v>
      </c>
    </row>
    <row r="73" spans="1:20">
      <c r="A73" s="41"/>
      <c r="B73" s="152" t="s">
        <v>738</v>
      </c>
      <c r="C73" s="246"/>
      <c r="D73" s="14">
        <f t="shared" si="5"/>
        <v>625</v>
      </c>
      <c r="E73" s="14">
        <f t="shared" si="6"/>
        <v>625</v>
      </c>
      <c r="F73" s="14">
        <f t="shared" si="6"/>
        <v>625</v>
      </c>
      <c r="G73" s="14">
        <f t="shared" si="6"/>
        <v>625</v>
      </c>
      <c r="H73" s="14">
        <f t="shared" si="6"/>
        <v>625</v>
      </c>
      <c r="I73" s="14">
        <f t="shared" si="6"/>
        <v>625</v>
      </c>
      <c r="J73" s="14">
        <f t="shared" si="6"/>
        <v>625</v>
      </c>
      <c r="K73" s="14">
        <f t="shared" si="6"/>
        <v>625</v>
      </c>
      <c r="L73" s="14">
        <f t="shared" si="6"/>
        <v>625</v>
      </c>
      <c r="M73" s="14">
        <f t="shared" si="6"/>
        <v>625</v>
      </c>
      <c r="N73" s="14">
        <f t="shared" si="6"/>
        <v>625</v>
      </c>
      <c r="O73" s="14">
        <f t="shared" si="6"/>
        <v>625</v>
      </c>
      <c r="P73" s="14">
        <f t="shared" si="4"/>
        <v>7500</v>
      </c>
    </row>
    <row r="74" spans="1:20">
      <c r="A74" s="41"/>
      <c r="B74" s="152"/>
      <c r="C74" s="246"/>
      <c r="D74" s="14">
        <f t="shared" si="5"/>
        <v>0</v>
      </c>
      <c r="E74" s="14">
        <f t="shared" si="6"/>
        <v>0</v>
      </c>
      <c r="F74" s="14">
        <f t="shared" si="6"/>
        <v>0</v>
      </c>
      <c r="G74" s="14">
        <f t="shared" si="6"/>
        <v>0</v>
      </c>
      <c r="H74" s="14">
        <f t="shared" si="6"/>
        <v>0</v>
      </c>
      <c r="I74" s="14">
        <f t="shared" si="6"/>
        <v>0</v>
      </c>
      <c r="J74" s="14">
        <f t="shared" si="6"/>
        <v>0</v>
      </c>
      <c r="K74" s="14">
        <f t="shared" si="6"/>
        <v>0</v>
      </c>
      <c r="L74" s="14">
        <f t="shared" si="6"/>
        <v>0</v>
      </c>
      <c r="M74" s="14">
        <f t="shared" si="6"/>
        <v>0</v>
      </c>
      <c r="N74" s="14">
        <f t="shared" si="6"/>
        <v>0</v>
      </c>
      <c r="O74" s="14">
        <f t="shared" si="6"/>
        <v>0</v>
      </c>
      <c r="P74" s="14">
        <f t="shared" si="4"/>
        <v>0</v>
      </c>
    </row>
    <row r="75" spans="1:20">
      <c r="A75" s="41"/>
      <c r="B75" s="152"/>
      <c r="C75" s="246"/>
      <c r="D75" s="14">
        <f t="shared" si="5"/>
        <v>0</v>
      </c>
      <c r="E75" s="14">
        <f t="shared" si="6"/>
        <v>0</v>
      </c>
      <c r="F75" s="14">
        <f t="shared" si="6"/>
        <v>0</v>
      </c>
      <c r="G75" s="14">
        <f t="shared" si="6"/>
        <v>0</v>
      </c>
      <c r="H75" s="14">
        <f t="shared" si="6"/>
        <v>0</v>
      </c>
      <c r="I75" s="14">
        <f t="shared" si="6"/>
        <v>0</v>
      </c>
      <c r="J75" s="14">
        <f t="shared" si="6"/>
        <v>0</v>
      </c>
      <c r="K75" s="14">
        <f t="shared" si="6"/>
        <v>0</v>
      </c>
      <c r="L75" s="14">
        <f t="shared" si="6"/>
        <v>0</v>
      </c>
      <c r="M75" s="14">
        <f t="shared" si="6"/>
        <v>0</v>
      </c>
      <c r="N75" s="14">
        <f t="shared" si="6"/>
        <v>0</v>
      </c>
      <c r="O75" s="14">
        <f t="shared" si="6"/>
        <v>0</v>
      </c>
      <c r="P75" s="14">
        <f t="shared" si="4"/>
        <v>0</v>
      </c>
    </row>
    <row r="76" spans="1:20">
      <c r="A76" s="41"/>
      <c r="B76" s="268"/>
      <c r="C76" s="9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43"/>
    </row>
    <row r="77" spans="1:20">
      <c r="A77" s="41"/>
      <c r="B77" s="269" t="s">
        <v>408</v>
      </c>
      <c r="C77" s="165"/>
      <c r="D77" s="51">
        <f>SUM(D45:D76)</f>
        <v>9500</v>
      </c>
      <c r="E77" s="51">
        <f t="shared" ref="E77:P77" si="7">SUM(E45:E76)</f>
        <v>9500</v>
      </c>
      <c r="F77" s="51">
        <f t="shared" si="7"/>
        <v>9500</v>
      </c>
      <c r="G77" s="51">
        <f t="shared" si="7"/>
        <v>9500</v>
      </c>
      <c r="H77" s="51">
        <f t="shared" si="7"/>
        <v>9500</v>
      </c>
      <c r="I77" s="51">
        <f t="shared" si="7"/>
        <v>9500</v>
      </c>
      <c r="J77" s="51">
        <f t="shared" si="7"/>
        <v>9500</v>
      </c>
      <c r="K77" s="51">
        <f t="shared" si="7"/>
        <v>9500</v>
      </c>
      <c r="L77" s="51">
        <f t="shared" si="7"/>
        <v>10541.666666666666</v>
      </c>
      <c r="M77" s="51">
        <f t="shared" si="7"/>
        <v>10541.666666666666</v>
      </c>
      <c r="N77" s="51">
        <f t="shared" si="7"/>
        <v>10541.666666666666</v>
      </c>
      <c r="O77" s="51">
        <f t="shared" si="7"/>
        <v>10541.666666666666</v>
      </c>
      <c r="P77" s="87">
        <f t="shared" si="7"/>
        <v>118166.66666666666</v>
      </c>
      <c r="Q77" s="45">
        <f>SUM(D77:O77)</f>
        <v>118166.66666666669</v>
      </c>
    </row>
    <row r="78" spans="1:20">
      <c r="A78" s="41"/>
      <c r="B78" s="268"/>
      <c r="C78" s="9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43"/>
    </row>
    <row r="79" spans="1:20">
      <c r="A79" s="73"/>
      <c r="B79" s="268" t="s">
        <v>55</v>
      </c>
      <c r="C79" s="9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43"/>
      <c r="T79" t="s">
        <v>409</v>
      </c>
    </row>
    <row r="80" spans="1:20">
      <c r="A80" s="41"/>
      <c r="B80" s="264"/>
      <c r="C80" s="80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43"/>
      <c r="S80">
        <v>1</v>
      </c>
      <c r="T80" t="s">
        <v>410</v>
      </c>
    </row>
    <row r="81" spans="1:18">
      <c r="A81" s="41"/>
      <c r="B81" s="147" t="s">
        <v>167</v>
      </c>
      <c r="C81" s="279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43"/>
    </row>
    <row r="82" spans="1:18">
      <c r="A82" s="41"/>
      <c r="B82" s="147"/>
      <c r="C82" s="279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43"/>
    </row>
    <row r="83" spans="1:18">
      <c r="A83" s="157">
        <v>0</v>
      </c>
      <c r="B83" s="152" t="s">
        <v>556</v>
      </c>
      <c r="C83" s="246"/>
      <c r="D83" s="14">
        <v>0</v>
      </c>
      <c r="E83" s="14">
        <f>D83</f>
        <v>0</v>
      </c>
      <c r="F83" s="14">
        <f t="shared" ref="F83:O83" si="8">E83</f>
        <v>0</v>
      </c>
      <c r="G83" s="14">
        <f t="shared" si="8"/>
        <v>0</v>
      </c>
      <c r="H83" s="14">
        <f t="shared" si="8"/>
        <v>0</v>
      </c>
      <c r="I83" s="14">
        <f t="shared" si="8"/>
        <v>0</v>
      </c>
      <c r="J83" s="14">
        <f t="shared" si="8"/>
        <v>0</v>
      </c>
      <c r="K83" s="14">
        <f t="shared" si="8"/>
        <v>0</v>
      </c>
      <c r="L83" s="14">
        <f t="shared" si="8"/>
        <v>0</v>
      </c>
      <c r="M83" s="14">
        <f t="shared" si="8"/>
        <v>0</v>
      </c>
      <c r="N83" s="14">
        <f t="shared" si="8"/>
        <v>0</v>
      </c>
      <c r="O83" s="14">
        <f t="shared" si="8"/>
        <v>0</v>
      </c>
      <c r="P83" s="43">
        <f>SUM(D83:O83)</f>
        <v>0</v>
      </c>
    </row>
    <row r="84" spans="1:18">
      <c r="A84" s="157">
        <v>1</v>
      </c>
      <c r="B84" s="152" t="s">
        <v>154</v>
      </c>
      <c r="C84" s="246"/>
      <c r="D84" s="14">
        <f>'Staff requirements'!J7*21/30/12</f>
        <v>84.583333333333329</v>
      </c>
      <c r="E84" s="14">
        <f>+D84</f>
        <v>84.583333333333329</v>
      </c>
      <c r="F84" s="14">
        <f t="shared" ref="F84:O84" si="9">+E84</f>
        <v>84.583333333333329</v>
      </c>
      <c r="G84" s="14">
        <f t="shared" si="9"/>
        <v>84.583333333333329</v>
      </c>
      <c r="H84" s="14">
        <f t="shared" si="9"/>
        <v>84.583333333333329</v>
      </c>
      <c r="I84" s="14">
        <f t="shared" si="9"/>
        <v>84.583333333333329</v>
      </c>
      <c r="J84" s="14">
        <f t="shared" si="9"/>
        <v>84.583333333333329</v>
      </c>
      <c r="K84" s="14">
        <f t="shared" si="9"/>
        <v>84.583333333333329</v>
      </c>
      <c r="L84" s="14">
        <f t="shared" si="9"/>
        <v>84.583333333333329</v>
      </c>
      <c r="M84" s="14">
        <f t="shared" si="9"/>
        <v>84.583333333333329</v>
      </c>
      <c r="N84" s="14">
        <f t="shared" si="9"/>
        <v>84.583333333333329</v>
      </c>
      <c r="O84" s="14">
        <f t="shared" si="9"/>
        <v>84.583333333333329</v>
      </c>
      <c r="P84" s="43">
        <f>SUM(D84:O84)</f>
        <v>1015.0000000000001</v>
      </c>
      <c r="Q84" s="149">
        <f>+'Staff requirements'!J7</f>
        <v>1450</v>
      </c>
      <c r="R84" s="45">
        <f>Q84*21/30</f>
        <v>1015</v>
      </c>
    </row>
    <row r="85" spans="1:18">
      <c r="A85" s="157">
        <v>2</v>
      </c>
      <c r="B85" s="152" t="s">
        <v>730</v>
      </c>
      <c r="C85" s="246"/>
      <c r="D85" s="14">
        <f>'Staff requirements'!J8*21/30/12</f>
        <v>233.33333333333334</v>
      </c>
      <c r="E85" s="14">
        <f>+D85</f>
        <v>233.33333333333334</v>
      </c>
      <c r="F85" s="14">
        <f t="shared" ref="F85:O85" si="10">+E85</f>
        <v>233.33333333333334</v>
      </c>
      <c r="G85" s="14">
        <f t="shared" si="10"/>
        <v>233.33333333333334</v>
      </c>
      <c r="H85" s="14">
        <f t="shared" si="10"/>
        <v>233.33333333333334</v>
      </c>
      <c r="I85" s="14">
        <f t="shared" si="10"/>
        <v>233.33333333333334</v>
      </c>
      <c r="J85" s="14">
        <f t="shared" si="10"/>
        <v>233.33333333333334</v>
      </c>
      <c r="K85" s="14">
        <f t="shared" si="10"/>
        <v>233.33333333333334</v>
      </c>
      <c r="L85" s="14">
        <f t="shared" si="10"/>
        <v>233.33333333333334</v>
      </c>
      <c r="M85" s="14">
        <f t="shared" si="10"/>
        <v>233.33333333333334</v>
      </c>
      <c r="N85" s="14">
        <f t="shared" si="10"/>
        <v>233.33333333333334</v>
      </c>
      <c r="O85" s="14">
        <f t="shared" si="10"/>
        <v>233.33333333333334</v>
      </c>
      <c r="P85" s="43">
        <f>SUM(D85:O85)</f>
        <v>2800.0000000000005</v>
      </c>
      <c r="Q85" s="149">
        <f>+'Staff requirements'!J8</f>
        <v>4000</v>
      </c>
      <c r="R85" s="45">
        <f t="shared" ref="R85:R109" si="11">Q85*21/30</f>
        <v>2800</v>
      </c>
    </row>
    <row r="86" spans="1:18">
      <c r="A86" s="157">
        <v>3</v>
      </c>
      <c r="B86" s="152" t="s">
        <v>731</v>
      </c>
      <c r="C86" s="246"/>
      <c r="D86" s="14">
        <f>'Staff requirements'!J9*21/30/12</f>
        <v>134.16666666666666</v>
      </c>
      <c r="E86" s="14">
        <f>+D86</f>
        <v>134.16666666666666</v>
      </c>
      <c r="F86" s="14">
        <f t="shared" ref="F86:O86" si="12">+E86</f>
        <v>134.16666666666666</v>
      </c>
      <c r="G86" s="14">
        <f t="shared" si="12"/>
        <v>134.16666666666666</v>
      </c>
      <c r="H86" s="14">
        <f t="shared" si="12"/>
        <v>134.16666666666666</v>
      </c>
      <c r="I86" s="14">
        <f t="shared" si="12"/>
        <v>134.16666666666666</v>
      </c>
      <c r="J86" s="14">
        <f t="shared" si="12"/>
        <v>134.16666666666666</v>
      </c>
      <c r="K86" s="14">
        <f t="shared" si="12"/>
        <v>134.16666666666666</v>
      </c>
      <c r="L86" s="14">
        <f>+K86+350*21/30/12</f>
        <v>154.58333333333331</v>
      </c>
      <c r="M86" s="14">
        <f t="shared" si="12"/>
        <v>154.58333333333331</v>
      </c>
      <c r="N86" s="14">
        <f t="shared" si="12"/>
        <v>154.58333333333331</v>
      </c>
      <c r="O86" s="14">
        <f t="shared" si="12"/>
        <v>154.58333333333331</v>
      </c>
      <c r="P86" s="43">
        <f>SUM(D86:O86)</f>
        <v>1691.6666666666663</v>
      </c>
      <c r="Q86" s="149">
        <f>+'Staff requirements'!J9</f>
        <v>2300</v>
      </c>
      <c r="R86" s="45">
        <f t="shared" si="11"/>
        <v>1610</v>
      </c>
    </row>
    <row r="87" spans="1:18">
      <c r="A87" s="151"/>
      <c r="B87" s="152"/>
      <c r="C87" s="246"/>
      <c r="D87" s="14">
        <f>'Staff requirements'!J10*21/30/12</f>
        <v>0</v>
      </c>
      <c r="E87" s="14">
        <f>+D87</f>
        <v>0</v>
      </c>
      <c r="F87" s="14">
        <f t="shared" ref="F87:O87" si="13">+E87</f>
        <v>0</v>
      </c>
      <c r="G87" s="14">
        <f t="shared" si="13"/>
        <v>0</v>
      </c>
      <c r="H87" s="14">
        <f t="shared" si="13"/>
        <v>0</v>
      </c>
      <c r="I87" s="14">
        <f t="shared" si="13"/>
        <v>0</v>
      </c>
      <c r="J87" s="14">
        <f t="shared" si="13"/>
        <v>0</v>
      </c>
      <c r="K87" s="14">
        <f t="shared" si="13"/>
        <v>0</v>
      </c>
      <c r="L87" s="14">
        <f t="shared" si="13"/>
        <v>0</v>
      </c>
      <c r="M87" s="14">
        <f t="shared" si="13"/>
        <v>0</v>
      </c>
      <c r="N87" s="14">
        <f t="shared" si="13"/>
        <v>0</v>
      </c>
      <c r="O87" s="14">
        <f t="shared" si="13"/>
        <v>0</v>
      </c>
      <c r="P87" s="43">
        <f>SUM(D87:O87)</f>
        <v>0</v>
      </c>
      <c r="Q87" s="149">
        <f>+'Staff requirements'!J10</f>
        <v>0</v>
      </c>
      <c r="R87" s="45">
        <f t="shared" si="11"/>
        <v>0</v>
      </c>
    </row>
    <row r="88" spans="1:18">
      <c r="A88" s="151"/>
      <c r="B88" s="152"/>
      <c r="C88" s="246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43"/>
      <c r="Q88" s="149">
        <f>+'Staff requirements'!J11</f>
        <v>0</v>
      </c>
      <c r="R88" s="45">
        <f t="shared" si="11"/>
        <v>0</v>
      </c>
    </row>
    <row r="89" spans="1:18">
      <c r="A89" s="151"/>
      <c r="B89" s="147" t="s">
        <v>166</v>
      </c>
      <c r="C89" s="246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43"/>
      <c r="Q89" s="149">
        <f>+'Staff requirements'!J12</f>
        <v>0</v>
      </c>
      <c r="R89" s="45">
        <f t="shared" si="11"/>
        <v>0</v>
      </c>
    </row>
    <row r="90" spans="1:18">
      <c r="A90" s="151"/>
      <c r="B90" s="147"/>
      <c r="C90" s="279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43"/>
      <c r="Q90" s="149">
        <f>+'Staff requirements'!J13</f>
        <v>0</v>
      </c>
      <c r="R90" s="45">
        <f t="shared" si="11"/>
        <v>0</v>
      </c>
    </row>
    <row r="91" spans="1:18">
      <c r="A91" s="151">
        <v>4</v>
      </c>
      <c r="B91" s="152" t="s">
        <v>156</v>
      </c>
      <c r="C91" s="279"/>
      <c r="D91" s="14">
        <f>'Staff requirements'!J14*21/30/12</f>
        <v>405.41666666666669</v>
      </c>
      <c r="E91" s="14">
        <f t="shared" ref="E91:E98" si="14">+D91</f>
        <v>405.41666666666669</v>
      </c>
      <c r="F91" s="14">
        <f t="shared" ref="F91:O91" si="15">+E91</f>
        <v>405.41666666666669</v>
      </c>
      <c r="G91" s="14">
        <f t="shared" si="15"/>
        <v>405.41666666666669</v>
      </c>
      <c r="H91" s="14">
        <f t="shared" si="15"/>
        <v>405.41666666666669</v>
      </c>
      <c r="I91" s="14">
        <f t="shared" si="15"/>
        <v>405.41666666666669</v>
      </c>
      <c r="J91" s="14">
        <f t="shared" si="15"/>
        <v>405.41666666666669</v>
      </c>
      <c r="K91" s="14">
        <f t="shared" si="15"/>
        <v>405.41666666666669</v>
      </c>
      <c r="L91" s="14">
        <f t="shared" si="15"/>
        <v>405.41666666666669</v>
      </c>
      <c r="M91" s="14">
        <f t="shared" si="15"/>
        <v>405.41666666666669</v>
      </c>
      <c r="N91" s="14">
        <f t="shared" si="15"/>
        <v>405.41666666666669</v>
      </c>
      <c r="O91" s="14">
        <f t="shared" si="15"/>
        <v>405.41666666666669</v>
      </c>
      <c r="P91" s="43">
        <f t="shared" ref="P91:P100" si="16">SUM(D91:O91)</f>
        <v>4865</v>
      </c>
      <c r="Q91" s="149">
        <f>+'Staff requirements'!J14</f>
        <v>6950</v>
      </c>
      <c r="R91" s="45">
        <f t="shared" si="11"/>
        <v>4865</v>
      </c>
    </row>
    <row r="92" spans="1:18">
      <c r="A92" s="151">
        <v>5</v>
      </c>
      <c r="B92" s="152"/>
      <c r="C92" s="246"/>
      <c r="D92" s="14">
        <f>'Staff requirements'!J15*21/30/12</f>
        <v>0</v>
      </c>
      <c r="E92" s="14">
        <f t="shared" si="14"/>
        <v>0</v>
      </c>
      <c r="F92" s="14">
        <f t="shared" ref="F92:O92" si="17">+E92</f>
        <v>0</v>
      </c>
      <c r="G92" s="14">
        <f t="shared" si="17"/>
        <v>0</v>
      </c>
      <c r="H92" s="14">
        <f t="shared" si="17"/>
        <v>0</v>
      </c>
      <c r="I92" s="14">
        <f t="shared" si="17"/>
        <v>0</v>
      </c>
      <c r="J92" s="14">
        <f t="shared" si="17"/>
        <v>0</v>
      </c>
      <c r="K92" s="14">
        <f t="shared" si="17"/>
        <v>0</v>
      </c>
      <c r="L92" s="14">
        <f t="shared" si="17"/>
        <v>0</v>
      </c>
      <c r="M92" s="14">
        <f t="shared" si="17"/>
        <v>0</v>
      </c>
      <c r="N92" s="14">
        <f t="shared" si="17"/>
        <v>0</v>
      </c>
      <c r="O92" s="14">
        <f t="shared" si="17"/>
        <v>0</v>
      </c>
      <c r="P92" s="43">
        <f t="shared" si="16"/>
        <v>0</v>
      </c>
      <c r="Q92" s="149">
        <f>+'Staff requirements'!J15</f>
        <v>0</v>
      </c>
      <c r="R92" s="45">
        <f t="shared" si="11"/>
        <v>0</v>
      </c>
    </row>
    <row r="93" spans="1:18">
      <c r="A93" s="151">
        <v>6</v>
      </c>
      <c r="B93" s="152" t="s">
        <v>732</v>
      </c>
      <c r="C93" s="246"/>
      <c r="D93" s="14">
        <f>'Staff requirements'!J16*21/30/12</f>
        <v>277.08333333333331</v>
      </c>
      <c r="E93" s="14">
        <f t="shared" si="14"/>
        <v>277.08333333333331</v>
      </c>
      <c r="F93" s="14">
        <f t="shared" ref="F93:O93" si="18">+E93</f>
        <v>277.08333333333331</v>
      </c>
      <c r="G93" s="14">
        <f t="shared" si="18"/>
        <v>277.08333333333331</v>
      </c>
      <c r="H93" s="14">
        <f t="shared" si="18"/>
        <v>277.08333333333331</v>
      </c>
      <c r="I93" s="14">
        <f t="shared" si="18"/>
        <v>277.08333333333331</v>
      </c>
      <c r="J93" s="14">
        <f t="shared" si="18"/>
        <v>277.08333333333331</v>
      </c>
      <c r="K93" s="14">
        <f t="shared" si="18"/>
        <v>277.08333333333331</v>
      </c>
      <c r="L93" s="14">
        <f t="shared" si="18"/>
        <v>277.08333333333331</v>
      </c>
      <c r="M93" s="14">
        <f t="shared" si="18"/>
        <v>277.08333333333331</v>
      </c>
      <c r="N93" s="14">
        <f t="shared" si="18"/>
        <v>277.08333333333331</v>
      </c>
      <c r="O93" s="14">
        <f t="shared" si="18"/>
        <v>277.08333333333331</v>
      </c>
      <c r="P93" s="43">
        <f t="shared" si="16"/>
        <v>3325.0000000000005</v>
      </c>
      <c r="Q93" s="149">
        <f>+'Staff requirements'!J16</f>
        <v>4750</v>
      </c>
      <c r="R93" s="45">
        <f t="shared" si="11"/>
        <v>3325</v>
      </c>
    </row>
    <row r="94" spans="1:18">
      <c r="A94" s="151">
        <v>7</v>
      </c>
      <c r="B94" s="152" t="s">
        <v>163</v>
      </c>
      <c r="C94" s="246"/>
      <c r="D94" s="14">
        <f>'Staff requirements'!J17*21/30/12</f>
        <v>210</v>
      </c>
      <c r="E94" s="14">
        <f t="shared" si="14"/>
        <v>210</v>
      </c>
      <c r="F94" s="14">
        <f t="shared" ref="F94:O94" si="19">+E94</f>
        <v>210</v>
      </c>
      <c r="G94" s="14">
        <f t="shared" si="19"/>
        <v>210</v>
      </c>
      <c r="H94" s="14">
        <f t="shared" si="19"/>
        <v>210</v>
      </c>
      <c r="I94" s="14">
        <f t="shared" si="19"/>
        <v>210</v>
      </c>
      <c r="J94" s="14">
        <f t="shared" si="19"/>
        <v>210</v>
      </c>
      <c r="K94" s="14">
        <f t="shared" si="19"/>
        <v>210</v>
      </c>
      <c r="L94" s="14">
        <f t="shared" si="19"/>
        <v>210</v>
      </c>
      <c r="M94" s="14">
        <f t="shared" si="19"/>
        <v>210</v>
      </c>
      <c r="N94" s="14">
        <f t="shared" si="19"/>
        <v>210</v>
      </c>
      <c r="O94" s="14">
        <f t="shared" si="19"/>
        <v>210</v>
      </c>
      <c r="P94" s="43">
        <f t="shared" si="16"/>
        <v>2520</v>
      </c>
      <c r="Q94" s="149">
        <f>+'Staff requirements'!J17</f>
        <v>3600</v>
      </c>
      <c r="R94" s="45">
        <f t="shared" si="11"/>
        <v>2520</v>
      </c>
    </row>
    <row r="95" spans="1:18">
      <c r="A95" s="151">
        <v>8</v>
      </c>
      <c r="B95" s="152" t="s">
        <v>733</v>
      </c>
      <c r="C95" s="246"/>
      <c r="D95" s="14">
        <f>'Staff requirements'!J18*21/30/12</f>
        <v>189.58333333333334</v>
      </c>
      <c r="E95" s="14">
        <f t="shared" si="14"/>
        <v>189.58333333333334</v>
      </c>
      <c r="F95" s="14">
        <f t="shared" ref="F95:O95" si="20">+E95</f>
        <v>189.58333333333334</v>
      </c>
      <c r="G95" s="14">
        <f t="shared" si="20"/>
        <v>189.58333333333334</v>
      </c>
      <c r="H95" s="14">
        <f t="shared" si="20"/>
        <v>189.58333333333334</v>
      </c>
      <c r="I95" s="14">
        <f t="shared" si="20"/>
        <v>189.58333333333334</v>
      </c>
      <c r="J95" s="14">
        <f t="shared" si="20"/>
        <v>189.58333333333334</v>
      </c>
      <c r="K95" s="14">
        <f t="shared" si="20"/>
        <v>189.58333333333334</v>
      </c>
      <c r="L95" s="14">
        <f t="shared" si="20"/>
        <v>189.58333333333334</v>
      </c>
      <c r="M95" s="14">
        <f t="shared" si="20"/>
        <v>189.58333333333334</v>
      </c>
      <c r="N95" s="14">
        <f t="shared" si="20"/>
        <v>189.58333333333334</v>
      </c>
      <c r="O95" s="14">
        <f t="shared" si="20"/>
        <v>189.58333333333334</v>
      </c>
      <c r="P95" s="43">
        <f t="shared" si="16"/>
        <v>2275</v>
      </c>
      <c r="Q95" s="149">
        <f>+'Staff requirements'!J18</f>
        <v>3250</v>
      </c>
      <c r="R95" s="45">
        <f t="shared" si="11"/>
        <v>2275</v>
      </c>
    </row>
    <row r="96" spans="1:18">
      <c r="A96" s="151">
        <v>9</v>
      </c>
      <c r="B96" s="152" t="s">
        <v>734</v>
      </c>
      <c r="C96" s="246"/>
      <c r="D96" s="14">
        <f>'Staff requirements'!J19*21/30/12</f>
        <v>175</v>
      </c>
      <c r="E96" s="14">
        <f t="shared" si="14"/>
        <v>175</v>
      </c>
      <c r="F96" s="14">
        <f t="shared" ref="F96:O96" si="21">+E96</f>
        <v>175</v>
      </c>
      <c r="G96" s="14">
        <f t="shared" si="21"/>
        <v>175</v>
      </c>
      <c r="H96" s="14">
        <f t="shared" si="21"/>
        <v>175</v>
      </c>
      <c r="I96" s="14">
        <f t="shared" si="21"/>
        <v>175</v>
      </c>
      <c r="J96" s="14">
        <f t="shared" si="21"/>
        <v>175</v>
      </c>
      <c r="K96" s="14">
        <f t="shared" si="21"/>
        <v>175</v>
      </c>
      <c r="L96" s="14">
        <f t="shared" si="21"/>
        <v>175</v>
      </c>
      <c r="M96" s="14">
        <f t="shared" si="21"/>
        <v>175</v>
      </c>
      <c r="N96" s="14">
        <f t="shared" si="21"/>
        <v>175</v>
      </c>
      <c r="O96" s="14">
        <f t="shared" si="21"/>
        <v>175</v>
      </c>
      <c r="P96" s="43">
        <f t="shared" si="16"/>
        <v>2100</v>
      </c>
      <c r="Q96" s="149">
        <f>+'Staff requirements'!J19</f>
        <v>3000</v>
      </c>
      <c r="R96" s="45">
        <f t="shared" si="11"/>
        <v>2100</v>
      </c>
    </row>
    <row r="97" spans="1:18">
      <c r="A97" s="151">
        <v>10</v>
      </c>
      <c r="B97" s="152" t="s">
        <v>735</v>
      </c>
      <c r="C97" s="246"/>
      <c r="D97" s="14">
        <f>'Staff requirements'!J20*21/30/12</f>
        <v>116.66666666666667</v>
      </c>
      <c r="E97" s="14">
        <f t="shared" si="14"/>
        <v>116.66666666666667</v>
      </c>
      <c r="F97" s="14">
        <f t="shared" ref="F97:O97" si="22">+E97</f>
        <v>116.66666666666667</v>
      </c>
      <c r="G97" s="14">
        <f t="shared" si="22"/>
        <v>116.66666666666667</v>
      </c>
      <c r="H97" s="14">
        <f t="shared" si="22"/>
        <v>116.66666666666667</v>
      </c>
      <c r="I97" s="14">
        <f t="shared" si="22"/>
        <v>116.66666666666667</v>
      </c>
      <c r="J97" s="14">
        <f t="shared" si="22"/>
        <v>116.66666666666667</v>
      </c>
      <c r="K97" s="14">
        <f t="shared" si="22"/>
        <v>116.66666666666667</v>
      </c>
      <c r="L97" s="14">
        <f t="shared" si="22"/>
        <v>116.66666666666667</v>
      </c>
      <c r="M97" s="14">
        <f t="shared" si="22"/>
        <v>116.66666666666667</v>
      </c>
      <c r="N97" s="14">
        <f t="shared" si="22"/>
        <v>116.66666666666667</v>
      </c>
      <c r="O97" s="14">
        <f t="shared" si="22"/>
        <v>116.66666666666667</v>
      </c>
      <c r="P97" s="43">
        <f t="shared" si="16"/>
        <v>1400.0000000000002</v>
      </c>
      <c r="Q97" s="149">
        <f>+'Staff requirements'!J20</f>
        <v>2000</v>
      </c>
      <c r="R97" s="45">
        <f t="shared" si="11"/>
        <v>1400</v>
      </c>
    </row>
    <row r="98" spans="1:18">
      <c r="A98" s="151">
        <v>11</v>
      </c>
      <c r="B98" s="152" t="s">
        <v>736</v>
      </c>
      <c r="C98" s="246"/>
      <c r="D98" s="14">
        <f>'Staff requirements'!J21*21/30/12</f>
        <v>233.33333333333334</v>
      </c>
      <c r="E98" s="14">
        <f t="shared" si="14"/>
        <v>233.33333333333334</v>
      </c>
      <c r="F98" s="14">
        <f t="shared" ref="F98:O98" si="23">+E98</f>
        <v>233.33333333333334</v>
      </c>
      <c r="G98" s="14">
        <f t="shared" si="23"/>
        <v>233.33333333333334</v>
      </c>
      <c r="H98" s="14">
        <f t="shared" si="23"/>
        <v>233.33333333333334</v>
      </c>
      <c r="I98" s="14">
        <f t="shared" si="23"/>
        <v>233.33333333333334</v>
      </c>
      <c r="J98" s="14">
        <f t="shared" si="23"/>
        <v>233.33333333333334</v>
      </c>
      <c r="K98" s="14">
        <f t="shared" si="23"/>
        <v>233.33333333333334</v>
      </c>
      <c r="L98" s="14">
        <f t="shared" si="23"/>
        <v>233.33333333333334</v>
      </c>
      <c r="M98" s="14">
        <f t="shared" si="23"/>
        <v>233.33333333333334</v>
      </c>
      <c r="N98" s="14">
        <f t="shared" si="23"/>
        <v>233.33333333333334</v>
      </c>
      <c r="O98" s="14">
        <f t="shared" si="23"/>
        <v>233.33333333333334</v>
      </c>
      <c r="P98" s="43">
        <f t="shared" si="16"/>
        <v>2800.0000000000005</v>
      </c>
      <c r="Q98" s="149">
        <f>+'Staff requirements'!J21</f>
        <v>4000</v>
      </c>
      <c r="R98" s="45">
        <f t="shared" si="11"/>
        <v>2800</v>
      </c>
    </row>
    <row r="99" spans="1:18">
      <c r="A99" s="151">
        <v>12</v>
      </c>
      <c r="B99" s="152" t="s">
        <v>739</v>
      </c>
      <c r="C99" s="246"/>
      <c r="D99" s="14">
        <f>'Staff requirements'!J22*21/30/12</f>
        <v>0</v>
      </c>
      <c r="E99" s="14">
        <f>'Staff requirements'!K22*21/30/12</f>
        <v>0</v>
      </c>
      <c r="F99" s="14">
        <f>'Staff requirements'!L22*21/30/12</f>
        <v>0</v>
      </c>
      <c r="G99" s="14">
        <f>'Staff requirements'!M22*21/30/12</f>
        <v>0</v>
      </c>
      <c r="H99" s="14">
        <f>'Staff requirements'!N22*21/30/12</f>
        <v>0</v>
      </c>
      <c r="I99" s="14">
        <f>'Staff requirements'!O22*21/30/12</f>
        <v>0</v>
      </c>
      <c r="J99" s="14">
        <f>'Staff requirements'!P22*21/30/12</f>
        <v>0</v>
      </c>
      <c r="K99" s="14">
        <f>'Staff requirements'!Q22*21/30/12</f>
        <v>0</v>
      </c>
      <c r="L99" s="14">
        <f>10000*21/30/12</f>
        <v>583.33333333333337</v>
      </c>
      <c r="M99" s="14">
        <f>10000*21/30/12</f>
        <v>583.33333333333337</v>
      </c>
      <c r="N99" s="14">
        <f>10000*21/30/12</f>
        <v>583.33333333333337</v>
      </c>
      <c r="O99" s="14">
        <f>10000*21/30/12</f>
        <v>583.33333333333337</v>
      </c>
      <c r="P99" s="43">
        <f t="shared" si="16"/>
        <v>2333.3333333333335</v>
      </c>
      <c r="Q99" s="149">
        <v>10000</v>
      </c>
      <c r="R99" s="45">
        <f>(Q99*21/30)*11/12</f>
        <v>6416.666666666667</v>
      </c>
    </row>
    <row r="100" spans="1:18">
      <c r="A100" s="151">
        <v>13</v>
      </c>
      <c r="B100" s="152" t="s">
        <v>804</v>
      </c>
      <c r="C100" s="246"/>
      <c r="D100" s="14">
        <f>'Staff requirements'!J23*21/30/12</f>
        <v>262.5</v>
      </c>
      <c r="E100" s="14">
        <f>'Staff requirements'!J23*21/30/12</f>
        <v>262.5</v>
      </c>
      <c r="F100" s="14">
        <f>+E100</f>
        <v>262.5</v>
      </c>
      <c r="G100" s="14">
        <f t="shared" ref="G100:O100" si="24">+F100</f>
        <v>262.5</v>
      </c>
      <c r="H100" s="14">
        <f t="shared" si="24"/>
        <v>262.5</v>
      </c>
      <c r="I100" s="14">
        <f t="shared" si="24"/>
        <v>262.5</v>
      </c>
      <c r="J100" s="14">
        <f t="shared" si="24"/>
        <v>262.5</v>
      </c>
      <c r="K100" s="14">
        <f t="shared" si="24"/>
        <v>262.5</v>
      </c>
      <c r="L100" s="14">
        <f t="shared" si="24"/>
        <v>262.5</v>
      </c>
      <c r="M100" s="14">
        <f t="shared" si="24"/>
        <v>262.5</v>
      </c>
      <c r="N100" s="14">
        <f t="shared" si="24"/>
        <v>262.5</v>
      </c>
      <c r="O100" s="14">
        <f t="shared" si="24"/>
        <v>262.5</v>
      </c>
      <c r="P100" s="43">
        <f t="shared" si="16"/>
        <v>3150</v>
      </c>
      <c r="Q100" s="149">
        <f>+'Staff requirements'!J23</f>
        <v>4500</v>
      </c>
      <c r="R100" s="45">
        <f>(Q100*21/30)*11/12</f>
        <v>2887.5</v>
      </c>
    </row>
    <row r="101" spans="1:18">
      <c r="A101" s="151"/>
      <c r="B101" s="152"/>
      <c r="C101" s="279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43"/>
      <c r="Q101" s="149">
        <f>+'Staff requirements'!J24</f>
        <v>0</v>
      </c>
      <c r="R101" s="45"/>
    </row>
    <row r="102" spans="1:18">
      <c r="A102" s="151"/>
      <c r="B102" s="147" t="s">
        <v>168</v>
      </c>
      <c r="C102" s="279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43"/>
      <c r="Q102" s="149">
        <f>+'Staff requirements'!J25</f>
        <v>0</v>
      </c>
      <c r="R102" s="45"/>
    </row>
    <row r="103" spans="1:18">
      <c r="A103" s="151"/>
      <c r="B103" s="147"/>
      <c r="C103" s="246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43"/>
      <c r="Q103" s="149">
        <f>+'Staff requirements'!J26</f>
        <v>0</v>
      </c>
      <c r="R103" s="45"/>
    </row>
    <row r="104" spans="1:18">
      <c r="A104" s="151">
        <v>15</v>
      </c>
      <c r="B104" s="152" t="s">
        <v>161</v>
      </c>
      <c r="C104" s="246"/>
      <c r="D104" s="14">
        <f>'Staff requirements'!J27*21/30/12</f>
        <v>364.58333333333331</v>
      </c>
      <c r="E104" s="14">
        <f t="shared" ref="E104:E110" si="25">+D104</f>
        <v>364.58333333333331</v>
      </c>
      <c r="F104" s="14">
        <f t="shared" ref="F104:O104" si="26">+E104</f>
        <v>364.58333333333331</v>
      </c>
      <c r="G104" s="14">
        <f t="shared" si="26"/>
        <v>364.58333333333331</v>
      </c>
      <c r="H104" s="14">
        <f t="shared" si="26"/>
        <v>364.58333333333331</v>
      </c>
      <c r="I104" s="14">
        <f t="shared" si="26"/>
        <v>364.58333333333331</v>
      </c>
      <c r="J104" s="14">
        <f t="shared" si="26"/>
        <v>364.58333333333331</v>
      </c>
      <c r="K104" s="14">
        <f t="shared" si="26"/>
        <v>364.58333333333331</v>
      </c>
      <c r="L104" s="14">
        <f t="shared" si="26"/>
        <v>364.58333333333331</v>
      </c>
      <c r="M104" s="14">
        <f t="shared" si="26"/>
        <v>364.58333333333331</v>
      </c>
      <c r="N104" s="14">
        <f t="shared" si="26"/>
        <v>364.58333333333331</v>
      </c>
      <c r="O104" s="14">
        <f t="shared" si="26"/>
        <v>364.58333333333331</v>
      </c>
      <c r="P104" s="43">
        <f>SUM(D104:O104)</f>
        <v>4375.0000000000009</v>
      </c>
      <c r="Q104" s="149">
        <f>+'Staff requirements'!J27</f>
        <v>6250</v>
      </c>
      <c r="R104" s="45">
        <f t="shared" si="11"/>
        <v>4375</v>
      </c>
    </row>
    <row r="105" spans="1:18">
      <c r="A105" s="151">
        <v>16</v>
      </c>
      <c r="B105" s="152" t="s">
        <v>155</v>
      </c>
      <c r="C105" s="246"/>
      <c r="D105" s="14">
        <f>'Staff requirements'!J28*21/30/12</f>
        <v>393.75</v>
      </c>
      <c r="E105" s="14">
        <f t="shared" si="25"/>
        <v>393.75</v>
      </c>
      <c r="F105" s="14">
        <f t="shared" ref="F105:O105" si="27">+E105</f>
        <v>393.75</v>
      </c>
      <c r="G105" s="14">
        <f t="shared" si="27"/>
        <v>393.75</v>
      </c>
      <c r="H105" s="14">
        <f t="shared" si="27"/>
        <v>393.75</v>
      </c>
      <c r="I105" s="14">
        <f t="shared" si="27"/>
        <v>393.75</v>
      </c>
      <c r="J105" s="14">
        <f t="shared" si="27"/>
        <v>393.75</v>
      </c>
      <c r="K105" s="14">
        <f t="shared" si="27"/>
        <v>393.75</v>
      </c>
      <c r="L105" s="14">
        <f t="shared" si="27"/>
        <v>393.75</v>
      </c>
      <c r="M105" s="14">
        <f t="shared" si="27"/>
        <v>393.75</v>
      </c>
      <c r="N105" s="14">
        <f t="shared" si="27"/>
        <v>393.75</v>
      </c>
      <c r="O105" s="14">
        <f t="shared" si="27"/>
        <v>393.75</v>
      </c>
      <c r="P105" s="43">
        <f t="shared" ref="P105:P112" si="28">SUM(D105:O105)</f>
        <v>4725</v>
      </c>
      <c r="Q105" s="149">
        <f>+'Staff requirements'!J28</f>
        <v>6750</v>
      </c>
      <c r="R105" s="45">
        <f t="shared" si="11"/>
        <v>4725</v>
      </c>
    </row>
    <row r="106" spans="1:18">
      <c r="A106" s="151">
        <v>17</v>
      </c>
      <c r="B106" s="152" t="s">
        <v>575</v>
      </c>
      <c r="C106" s="246"/>
      <c r="D106" s="14">
        <f>'Staff requirements'!J29*21/30/12</f>
        <v>160.41666666666666</v>
      </c>
      <c r="E106" s="14">
        <f t="shared" si="25"/>
        <v>160.41666666666666</v>
      </c>
      <c r="F106" s="14">
        <f t="shared" ref="F106:O106" si="29">+E106</f>
        <v>160.41666666666666</v>
      </c>
      <c r="G106" s="14">
        <f t="shared" si="29"/>
        <v>160.41666666666666</v>
      </c>
      <c r="H106" s="14">
        <f t="shared" si="29"/>
        <v>160.41666666666666</v>
      </c>
      <c r="I106" s="14">
        <f t="shared" si="29"/>
        <v>160.41666666666666</v>
      </c>
      <c r="J106" s="14">
        <f t="shared" si="29"/>
        <v>160.41666666666666</v>
      </c>
      <c r="K106" s="14">
        <f t="shared" si="29"/>
        <v>160.41666666666666</v>
      </c>
      <c r="L106" s="14">
        <f t="shared" si="29"/>
        <v>160.41666666666666</v>
      </c>
      <c r="M106" s="14">
        <f t="shared" si="29"/>
        <v>160.41666666666666</v>
      </c>
      <c r="N106" s="14">
        <f t="shared" si="29"/>
        <v>160.41666666666666</v>
      </c>
      <c r="O106" s="14">
        <f t="shared" si="29"/>
        <v>160.41666666666666</v>
      </c>
      <c r="P106" s="43">
        <f t="shared" si="28"/>
        <v>1925.0000000000002</v>
      </c>
      <c r="Q106" s="149">
        <f>+'Staff requirements'!J29</f>
        <v>2750</v>
      </c>
      <c r="R106" s="45">
        <f t="shared" si="11"/>
        <v>1925</v>
      </c>
    </row>
    <row r="107" spans="1:18">
      <c r="A107" s="151">
        <v>18</v>
      </c>
      <c r="B107" s="152" t="s">
        <v>159</v>
      </c>
      <c r="C107" s="246"/>
      <c r="D107" s="14">
        <f>'Staff requirements'!J30*21/30/12</f>
        <v>255.20833333333334</v>
      </c>
      <c r="E107" s="14">
        <f t="shared" si="25"/>
        <v>255.20833333333334</v>
      </c>
      <c r="F107" s="14">
        <f t="shared" ref="F107:O107" si="30">+E107</f>
        <v>255.20833333333334</v>
      </c>
      <c r="G107" s="14">
        <f t="shared" si="30"/>
        <v>255.20833333333334</v>
      </c>
      <c r="H107" s="14">
        <f t="shared" si="30"/>
        <v>255.20833333333334</v>
      </c>
      <c r="I107" s="14">
        <f t="shared" si="30"/>
        <v>255.20833333333334</v>
      </c>
      <c r="J107" s="14">
        <f t="shared" si="30"/>
        <v>255.20833333333334</v>
      </c>
      <c r="K107" s="14">
        <f t="shared" si="30"/>
        <v>255.20833333333334</v>
      </c>
      <c r="L107" s="14">
        <f t="shared" si="30"/>
        <v>255.20833333333334</v>
      </c>
      <c r="M107" s="14">
        <f t="shared" si="30"/>
        <v>255.20833333333334</v>
      </c>
      <c r="N107" s="14">
        <f t="shared" si="30"/>
        <v>255.20833333333334</v>
      </c>
      <c r="O107" s="14">
        <f t="shared" si="30"/>
        <v>255.20833333333334</v>
      </c>
      <c r="P107" s="43">
        <f t="shared" si="28"/>
        <v>3062.5000000000005</v>
      </c>
      <c r="Q107" s="149">
        <f>+'Staff requirements'!J30</f>
        <v>4375</v>
      </c>
      <c r="R107" s="45">
        <f t="shared" si="11"/>
        <v>3062.5</v>
      </c>
    </row>
    <row r="108" spans="1:18">
      <c r="A108" s="151">
        <v>19</v>
      </c>
      <c r="B108" s="152" t="s">
        <v>160</v>
      </c>
      <c r="C108" s="246"/>
      <c r="D108" s="14">
        <f>'Staff requirements'!J31*21/30/12</f>
        <v>320.83333333333331</v>
      </c>
      <c r="E108" s="14">
        <f t="shared" si="25"/>
        <v>320.83333333333331</v>
      </c>
      <c r="F108" s="14">
        <f t="shared" ref="F108:O108" si="31">+E108</f>
        <v>320.83333333333331</v>
      </c>
      <c r="G108" s="14">
        <f t="shared" si="31"/>
        <v>320.83333333333331</v>
      </c>
      <c r="H108" s="14">
        <f t="shared" si="31"/>
        <v>320.83333333333331</v>
      </c>
      <c r="I108" s="14">
        <f t="shared" si="31"/>
        <v>320.83333333333331</v>
      </c>
      <c r="J108" s="14">
        <f t="shared" si="31"/>
        <v>320.83333333333331</v>
      </c>
      <c r="K108" s="14">
        <f t="shared" si="31"/>
        <v>320.83333333333331</v>
      </c>
      <c r="L108" s="14">
        <f t="shared" si="31"/>
        <v>320.83333333333331</v>
      </c>
      <c r="M108" s="14">
        <f t="shared" si="31"/>
        <v>320.83333333333331</v>
      </c>
      <c r="N108" s="14">
        <f t="shared" si="31"/>
        <v>320.83333333333331</v>
      </c>
      <c r="O108" s="14">
        <f t="shared" si="31"/>
        <v>320.83333333333331</v>
      </c>
      <c r="P108" s="43">
        <f t="shared" si="28"/>
        <v>3850.0000000000005</v>
      </c>
      <c r="Q108" s="149">
        <f>+'Staff requirements'!J31</f>
        <v>5500</v>
      </c>
      <c r="R108" s="45">
        <f t="shared" si="11"/>
        <v>3850</v>
      </c>
    </row>
    <row r="109" spans="1:18">
      <c r="A109" s="151">
        <v>20</v>
      </c>
      <c r="B109" s="152" t="s">
        <v>165</v>
      </c>
      <c r="C109" s="246"/>
      <c r="D109" s="14">
        <f>'Staff requirements'!J32*21/30/12</f>
        <v>371.875</v>
      </c>
      <c r="E109" s="14">
        <f t="shared" si="25"/>
        <v>371.875</v>
      </c>
      <c r="F109" s="14">
        <f t="shared" ref="F109:O109" si="32">+E109</f>
        <v>371.875</v>
      </c>
      <c r="G109" s="14">
        <f t="shared" si="32"/>
        <v>371.875</v>
      </c>
      <c r="H109" s="14">
        <f t="shared" si="32"/>
        <v>371.875</v>
      </c>
      <c r="I109" s="14">
        <f t="shared" si="32"/>
        <v>371.875</v>
      </c>
      <c r="J109" s="14">
        <f t="shared" si="32"/>
        <v>371.875</v>
      </c>
      <c r="K109" s="14">
        <f t="shared" si="32"/>
        <v>371.875</v>
      </c>
      <c r="L109" s="14">
        <f t="shared" si="32"/>
        <v>371.875</v>
      </c>
      <c r="M109" s="14">
        <f t="shared" si="32"/>
        <v>371.875</v>
      </c>
      <c r="N109" s="14">
        <f t="shared" si="32"/>
        <v>371.875</v>
      </c>
      <c r="O109" s="14">
        <f t="shared" si="32"/>
        <v>371.875</v>
      </c>
      <c r="P109" s="43">
        <f t="shared" si="28"/>
        <v>4462.5</v>
      </c>
      <c r="Q109" s="149">
        <f>+'Staff requirements'!J32</f>
        <v>6375</v>
      </c>
      <c r="R109" s="45">
        <f t="shared" si="11"/>
        <v>4462.5</v>
      </c>
    </row>
    <row r="110" spans="1:18">
      <c r="A110" s="151">
        <v>21</v>
      </c>
      <c r="B110" s="152" t="s">
        <v>737</v>
      </c>
      <c r="C110" s="246"/>
      <c r="D110" s="14">
        <f>'Staff requirements'!J33*21/30/12</f>
        <v>218.75</v>
      </c>
      <c r="E110" s="14">
        <f t="shared" si="25"/>
        <v>218.75</v>
      </c>
      <c r="F110" s="14">
        <f t="shared" ref="F110:O112" si="33">+E110</f>
        <v>218.75</v>
      </c>
      <c r="G110" s="14">
        <f t="shared" si="33"/>
        <v>218.75</v>
      </c>
      <c r="H110" s="14">
        <f t="shared" si="33"/>
        <v>218.75</v>
      </c>
      <c r="I110" s="14">
        <f t="shared" si="33"/>
        <v>218.75</v>
      </c>
      <c r="J110" s="14">
        <f t="shared" si="33"/>
        <v>218.75</v>
      </c>
      <c r="K110" s="14">
        <f t="shared" si="33"/>
        <v>218.75</v>
      </c>
      <c r="L110" s="14">
        <f t="shared" si="33"/>
        <v>218.75</v>
      </c>
      <c r="M110" s="14">
        <f t="shared" si="33"/>
        <v>218.75</v>
      </c>
      <c r="N110" s="14">
        <f t="shared" si="33"/>
        <v>218.75</v>
      </c>
      <c r="O110" s="14">
        <f t="shared" si="33"/>
        <v>218.75</v>
      </c>
      <c r="P110" s="43">
        <f t="shared" si="28"/>
        <v>2625</v>
      </c>
      <c r="Q110" s="149">
        <f>+'Staff requirements'!J33</f>
        <v>3750</v>
      </c>
      <c r="R110" s="45">
        <f>(Q110*21/30)*12/12</f>
        <v>2625</v>
      </c>
    </row>
    <row r="111" spans="1:18">
      <c r="A111" s="481"/>
      <c r="B111" s="152" t="s">
        <v>738</v>
      </c>
      <c r="C111" s="246"/>
      <c r="D111" s="14">
        <f>'Staff requirements'!J34*21/30/12</f>
        <v>320.83333333333331</v>
      </c>
      <c r="E111" s="14">
        <f>'Staff requirements'!J34*21/30/12</f>
        <v>320.83333333333331</v>
      </c>
      <c r="F111" s="14">
        <f>+E111</f>
        <v>320.83333333333331</v>
      </c>
      <c r="G111" s="14">
        <f t="shared" si="33"/>
        <v>320.83333333333331</v>
      </c>
      <c r="H111" s="14">
        <f t="shared" si="33"/>
        <v>320.83333333333331</v>
      </c>
      <c r="I111" s="14">
        <f t="shared" si="33"/>
        <v>320.83333333333331</v>
      </c>
      <c r="J111" s="14">
        <f t="shared" si="33"/>
        <v>320.83333333333331</v>
      </c>
      <c r="K111" s="14">
        <f t="shared" si="33"/>
        <v>320.83333333333331</v>
      </c>
      <c r="L111" s="14">
        <f t="shared" si="33"/>
        <v>320.83333333333331</v>
      </c>
      <c r="M111" s="14">
        <f t="shared" si="33"/>
        <v>320.83333333333331</v>
      </c>
      <c r="N111" s="14">
        <f t="shared" si="33"/>
        <v>320.83333333333331</v>
      </c>
      <c r="O111" s="14">
        <f t="shared" si="33"/>
        <v>320.83333333333331</v>
      </c>
      <c r="P111" s="43">
        <f t="shared" si="28"/>
        <v>3850.0000000000005</v>
      </c>
      <c r="Q111" s="149">
        <f>+'Staff requirements'!J34</f>
        <v>5500</v>
      </c>
      <c r="R111" s="45">
        <f>+P111</f>
        <v>3850.0000000000005</v>
      </c>
    </row>
    <row r="112" spans="1:18">
      <c r="A112" s="481"/>
      <c r="B112" s="152"/>
      <c r="C112" s="246"/>
      <c r="D112" s="14">
        <v>0</v>
      </c>
      <c r="E112" s="14">
        <v>0</v>
      </c>
      <c r="F112" s="482">
        <v>0</v>
      </c>
      <c r="G112" s="14">
        <f>'Staff requirements'!J35*21/30/12</f>
        <v>0</v>
      </c>
      <c r="H112" s="14">
        <f>+G112</f>
        <v>0</v>
      </c>
      <c r="I112" s="14">
        <f t="shared" si="33"/>
        <v>0</v>
      </c>
      <c r="J112" s="14">
        <f t="shared" si="33"/>
        <v>0</v>
      </c>
      <c r="K112" s="14">
        <f t="shared" si="33"/>
        <v>0</v>
      </c>
      <c r="L112" s="14">
        <f t="shared" si="33"/>
        <v>0</v>
      </c>
      <c r="M112" s="14">
        <f t="shared" si="33"/>
        <v>0</v>
      </c>
      <c r="N112" s="14">
        <f t="shared" si="33"/>
        <v>0</v>
      </c>
      <c r="O112" s="14">
        <f t="shared" si="33"/>
        <v>0</v>
      </c>
      <c r="P112" s="43">
        <f t="shared" si="28"/>
        <v>0</v>
      </c>
      <c r="Q112" s="149"/>
      <c r="R112" s="45"/>
    </row>
    <row r="113" spans="1:20">
      <c r="A113" s="41"/>
      <c r="B113" s="152"/>
      <c r="C113" s="246"/>
      <c r="D113" s="14"/>
      <c r="E113" s="14">
        <f>+D113</f>
        <v>0</v>
      </c>
      <c r="F113" s="14">
        <f t="shared" ref="F113:P113" si="34">+E113</f>
        <v>0</v>
      </c>
      <c r="G113" s="14">
        <f t="shared" si="34"/>
        <v>0</v>
      </c>
      <c r="H113" s="14">
        <f t="shared" si="34"/>
        <v>0</v>
      </c>
      <c r="I113" s="14">
        <f>+H113</f>
        <v>0</v>
      </c>
      <c r="J113" s="14">
        <f t="shared" si="34"/>
        <v>0</v>
      </c>
      <c r="K113" s="14">
        <f t="shared" si="34"/>
        <v>0</v>
      </c>
      <c r="L113" s="14">
        <f>+K113</f>
        <v>0</v>
      </c>
      <c r="M113" s="14">
        <f t="shared" si="34"/>
        <v>0</v>
      </c>
      <c r="N113" s="14">
        <f t="shared" si="34"/>
        <v>0</v>
      </c>
      <c r="O113" s="14">
        <f>+N113</f>
        <v>0</v>
      </c>
      <c r="P113" s="14">
        <f t="shared" si="34"/>
        <v>0</v>
      </c>
      <c r="Q113" s="14"/>
      <c r="R113" s="45"/>
    </row>
    <row r="114" spans="1:20">
      <c r="A114" s="41"/>
      <c r="B114" s="268"/>
      <c r="C114" s="9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43"/>
    </row>
    <row r="115" spans="1:20">
      <c r="A115" s="41"/>
      <c r="B115" s="269" t="s">
        <v>408</v>
      </c>
      <c r="C115" s="165"/>
      <c r="D115" s="51">
        <f t="shared" ref="D115:R115" si="35">SUM(D83:D114)</f>
        <v>4727.916666666667</v>
      </c>
      <c r="E115" s="51">
        <f t="shared" si="35"/>
        <v>4727.916666666667</v>
      </c>
      <c r="F115" s="51">
        <f t="shared" si="35"/>
        <v>4727.916666666667</v>
      </c>
      <c r="G115" s="51">
        <f t="shared" si="35"/>
        <v>4727.916666666667</v>
      </c>
      <c r="H115" s="51">
        <f t="shared" si="35"/>
        <v>4727.916666666667</v>
      </c>
      <c r="I115" s="51">
        <f t="shared" si="35"/>
        <v>4727.916666666667</v>
      </c>
      <c r="J115" s="51">
        <f t="shared" si="35"/>
        <v>4727.916666666667</v>
      </c>
      <c r="K115" s="51">
        <f t="shared" si="35"/>
        <v>4727.916666666667</v>
      </c>
      <c r="L115" s="51">
        <f t="shared" si="35"/>
        <v>5331.6666666666661</v>
      </c>
      <c r="M115" s="51">
        <f t="shared" si="35"/>
        <v>5331.6666666666661</v>
      </c>
      <c r="N115" s="51">
        <f t="shared" si="35"/>
        <v>5331.6666666666661</v>
      </c>
      <c r="O115" s="51">
        <f t="shared" si="35"/>
        <v>5331.6666666666661</v>
      </c>
      <c r="P115" s="87">
        <f t="shared" si="35"/>
        <v>59150</v>
      </c>
      <c r="Q115" s="87">
        <f t="shared" si="35"/>
        <v>91050</v>
      </c>
      <c r="R115" s="87">
        <f t="shared" si="35"/>
        <v>62889.166666666672</v>
      </c>
    </row>
    <row r="116" spans="1:20">
      <c r="A116" s="21"/>
      <c r="B116" s="271"/>
      <c r="C116" s="94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95"/>
      <c r="Q116" s="45"/>
    </row>
    <row r="117" spans="1:20">
      <c r="B117" s="264"/>
      <c r="C117" s="80"/>
      <c r="O117" s="45"/>
      <c r="P117" s="41"/>
    </row>
    <row r="118" spans="1:20">
      <c r="B118" s="268" t="s">
        <v>54</v>
      </c>
      <c r="C118" s="9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43"/>
    </row>
    <row r="119" spans="1:20">
      <c r="B119" s="270"/>
      <c r="C119" s="80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43"/>
    </row>
    <row r="120" spans="1:20">
      <c r="B120" s="146" t="s">
        <v>167</v>
      </c>
      <c r="C120" s="279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43"/>
    </row>
    <row r="121" spans="1:20">
      <c r="B121" s="146"/>
      <c r="C121" s="279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43"/>
    </row>
    <row r="122" spans="1:20">
      <c r="A122" s="157">
        <v>0</v>
      </c>
      <c r="B122" s="152" t="s">
        <v>556</v>
      </c>
      <c r="C122" s="246"/>
      <c r="D122" s="14">
        <v>0</v>
      </c>
      <c r="E122" s="14">
        <f>+D122</f>
        <v>0</v>
      </c>
      <c r="F122" s="14">
        <f t="shared" ref="F122:O122" si="36">+E122</f>
        <v>0</v>
      </c>
      <c r="G122" s="14">
        <f t="shared" si="36"/>
        <v>0</v>
      </c>
      <c r="H122" s="14">
        <f t="shared" si="36"/>
        <v>0</v>
      </c>
      <c r="I122" s="14">
        <f t="shared" si="36"/>
        <v>0</v>
      </c>
      <c r="J122" s="14">
        <f t="shared" si="36"/>
        <v>0</v>
      </c>
      <c r="K122" s="14">
        <f t="shared" si="36"/>
        <v>0</v>
      </c>
      <c r="L122" s="14">
        <f t="shared" si="36"/>
        <v>0</v>
      </c>
      <c r="M122" s="14">
        <f t="shared" si="36"/>
        <v>0</v>
      </c>
      <c r="N122" s="14">
        <f t="shared" si="36"/>
        <v>0</v>
      </c>
      <c r="O122" s="14">
        <f t="shared" si="36"/>
        <v>0</v>
      </c>
      <c r="P122" s="43">
        <f>SUM(D122:O122)</f>
        <v>0</v>
      </c>
    </row>
    <row r="123" spans="1:20">
      <c r="A123" s="157">
        <v>1</v>
      </c>
      <c r="B123" s="152" t="s">
        <v>154</v>
      </c>
      <c r="C123" s="246"/>
      <c r="D123" s="14">
        <f>R123/24</f>
        <v>104.16666666666667</v>
      </c>
      <c r="E123" s="14">
        <f>+D123</f>
        <v>104.16666666666667</v>
      </c>
      <c r="F123" s="14">
        <f t="shared" ref="F123:O123" si="37">+E123</f>
        <v>104.16666666666667</v>
      </c>
      <c r="G123" s="14">
        <f t="shared" si="37"/>
        <v>104.16666666666667</v>
      </c>
      <c r="H123" s="14">
        <f t="shared" si="37"/>
        <v>104.16666666666667</v>
      </c>
      <c r="I123" s="14">
        <f t="shared" si="37"/>
        <v>104.16666666666667</v>
      </c>
      <c r="J123" s="14">
        <f t="shared" si="37"/>
        <v>104.16666666666667</v>
      </c>
      <c r="K123" s="14">
        <f t="shared" si="37"/>
        <v>104.16666666666667</v>
      </c>
      <c r="L123" s="14">
        <f t="shared" si="37"/>
        <v>104.16666666666667</v>
      </c>
      <c r="M123" s="14">
        <f t="shared" si="37"/>
        <v>104.16666666666667</v>
      </c>
      <c r="N123" s="14">
        <f t="shared" si="37"/>
        <v>104.16666666666667</v>
      </c>
      <c r="O123" s="14">
        <f t="shared" si="37"/>
        <v>104.16666666666667</v>
      </c>
      <c r="P123" s="43">
        <f>SUM(D123:O123)</f>
        <v>1250</v>
      </c>
      <c r="Q123" t="s">
        <v>178</v>
      </c>
      <c r="R123" s="163">
        <v>2500</v>
      </c>
      <c r="T123" t="s">
        <v>409</v>
      </c>
    </row>
    <row r="124" spans="1:20">
      <c r="A124" s="157">
        <v>2</v>
      </c>
      <c r="B124" s="152" t="s">
        <v>730</v>
      </c>
      <c r="C124" s="246"/>
      <c r="D124" s="14">
        <f>R124/24</f>
        <v>104.16666666666667</v>
      </c>
      <c r="E124" s="14">
        <f>+D124</f>
        <v>104.16666666666667</v>
      </c>
      <c r="F124" s="14">
        <f t="shared" ref="F124:O124" si="38">+E124</f>
        <v>104.16666666666667</v>
      </c>
      <c r="G124" s="14">
        <f t="shared" si="38"/>
        <v>104.16666666666667</v>
      </c>
      <c r="H124" s="14">
        <f t="shared" si="38"/>
        <v>104.16666666666667</v>
      </c>
      <c r="I124" s="14">
        <f t="shared" si="38"/>
        <v>104.16666666666667</v>
      </c>
      <c r="J124" s="14">
        <f t="shared" si="38"/>
        <v>104.16666666666667</v>
      </c>
      <c r="K124" s="14">
        <f t="shared" si="38"/>
        <v>104.16666666666667</v>
      </c>
      <c r="L124" s="14">
        <f t="shared" si="38"/>
        <v>104.16666666666667</v>
      </c>
      <c r="M124" s="14">
        <f t="shared" si="38"/>
        <v>104.16666666666667</v>
      </c>
      <c r="N124" s="14">
        <f t="shared" si="38"/>
        <v>104.16666666666667</v>
      </c>
      <c r="O124" s="14">
        <f t="shared" si="38"/>
        <v>104.16666666666667</v>
      </c>
      <c r="P124" s="43">
        <f>SUM(D124:O124)</f>
        <v>1250</v>
      </c>
      <c r="Q124" t="s">
        <v>178</v>
      </c>
      <c r="R124" s="163">
        <v>2500</v>
      </c>
      <c r="S124">
        <v>1</v>
      </c>
      <c r="T124" t="s">
        <v>411</v>
      </c>
    </row>
    <row r="125" spans="1:20">
      <c r="A125" s="157">
        <v>3</v>
      </c>
      <c r="B125" s="152" t="s">
        <v>731</v>
      </c>
      <c r="C125" s="246"/>
      <c r="D125" s="14">
        <f>R125/24</f>
        <v>104.16666666666667</v>
      </c>
      <c r="E125" s="14">
        <f>+D125</f>
        <v>104.16666666666667</v>
      </c>
      <c r="F125" s="14">
        <f t="shared" ref="F125:O125" si="39">+E125</f>
        <v>104.16666666666667</v>
      </c>
      <c r="G125" s="14">
        <f t="shared" si="39"/>
        <v>104.16666666666667</v>
      </c>
      <c r="H125" s="14">
        <f t="shared" si="39"/>
        <v>104.16666666666667</v>
      </c>
      <c r="I125" s="14">
        <f t="shared" si="39"/>
        <v>104.16666666666667</v>
      </c>
      <c r="J125" s="14">
        <f t="shared" si="39"/>
        <v>104.16666666666667</v>
      </c>
      <c r="K125" s="14">
        <f t="shared" si="39"/>
        <v>104.16666666666667</v>
      </c>
      <c r="L125" s="14">
        <f t="shared" si="39"/>
        <v>104.16666666666667</v>
      </c>
      <c r="M125" s="14">
        <f t="shared" si="39"/>
        <v>104.16666666666667</v>
      </c>
      <c r="N125" s="14">
        <f t="shared" si="39"/>
        <v>104.16666666666667</v>
      </c>
      <c r="O125" s="14">
        <f t="shared" si="39"/>
        <v>104.16666666666667</v>
      </c>
      <c r="P125" s="43">
        <f>SUM(D125:O125)</f>
        <v>1250</v>
      </c>
      <c r="Q125" t="s">
        <v>178</v>
      </c>
      <c r="R125" s="163">
        <v>2500</v>
      </c>
      <c r="S125">
        <v>2</v>
      </c>
      <c r="T125" t="s">
        <v>412</v>
      </c>
    </row>
    <row r="126" spans="1:20">
      <c r="A126" s="151"/>
      <c r="B126" s="152"/>
      <c r="C126" s="246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43"/>
      <c r="R126" s="163"/>
    </row>
    <row r="127" spans="1:20">
      <c r="A127" s="151"/>
      <c r="B127" s="152"/>
      <c r="C127" s="246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43"/>
      <c r="R127" s="163"/>
    </row>
    <row r="128" spans="1:20">
      <c r="A128" s="151"/>
      <c r="B128" s="147" t="s">
        <v>166</v>
      </c>
      <c r="C128" s="246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43"/>
      <c r="R128" s="163"/>
    </row>
    <row r="129" spans="1:18">
      <c r="A129" s="151"/>
      <c r="B129" s="147"/>
      <c r="C129" s="279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43"/>
      <c r="R129" s="163"/>
    </row>
    <row r="130" spans="1:18">
      <c r="A130" s="151">
        <v>4</v>
      </c>
      <c r="B130" s="152" t="s">
        <v>156</v>
      </c>
      <c r="C130" s="279"/>
      <c r="D130" s="14">
        <f t="shared" ref="D130:D139" si="40">R130/24</f>
        <v>416.66666666666669</v>
      </c>
      <c r="E130" s="14">
        <f t="shared" ref="E130:E135" si="41">+D130</f>
        <v>416.66666666666669</v>
      </c>
      <c r="F130" s="14">
        <f t="shared" ref="F130:O130" si="42">+E130</f>
        <v>416.66666666666669</v>
      </c>
      <c r="G130" s="14">
        <f t="shared" si="42"/>
        <v>416.66666666666669</v>
      </c>
      <c r="H130" s="14">
        <f t="shared" si="42"/>
        <v>416.66666666666669</v>
      </c>
      <c r="I130" s="14">
        <f t="shared" si="42"/>
        <v>416.66666666666669</v>
      </c>
      <c r="J130" s="14">
        <f t="shared" si="42"/>
        <v>416.66666666666669</v>
      </c>
      <c r="K130" s="14">
        <f t="shared" si="42"/>
        <v>416.66666666666669</v>
      </c>
      <c r="L130" s="14">
        <f t="shared" si="42"/>
        <v>416.66666666666669</v>
      </c>
      <c r="M130" s="14">
        <f t="shared" si="42"/>
        <v>416.66666666666669</v>
      </c>
      <c r="N130" s="14">
        <f t="shared" si="42"/>
        <v>416.66666666666669</v>
      </c>
      <c r="O130" s="14">
        <f t="shared" si="42"/>
        <v>416.66666666666669</v>
      </c>
      <c r="P130" s="43"/>
      <c r="Q130" t="s">
        <v>178</v>
      </c>
      <c r="R130" s="163">
        <f>2500*4</f>
        <v>10000</v>
      </c>
    </row>
    <row r="131" spans="1:18">
      <c r="A131" s="151">
        <v>5</v>
      </c>
      <c r="B131" s="152"/>
      <c r="C131" s="246"/>
      <c r="D131" s="14">
        <f t="shared" si="40"/>
        <v>104.16666666666667</v>
      </c>
      <c r="E131" s="14">
        <f t="shared" si="41"/>
        <v>104.16666666666667</v>
      </c>
      <c r="F131" s="14">
        <f t="shared" ref="F131:O131" si="43">+E131</f>
        <v>104.16666666666667</v>
      </c>
      <c r="G131" s="14">
        <f t="shared" si="43"/>
        <v>104.16666666666667</v>
      </c>
      <c r="H131" s="14">
        <f t="shared" si="43"/>
        <v>104.16666666666667</v>
      </c>
      <c r="I131" s="14">
        <f t="shared" si="43"/>
        <v>104.16666666666667</v>
      </c>
      <c r="J131" s="14">
        <f t="shared" si="43"/>
        <v>104.16666666666667</v>
      </c>
      <c r="K131" s="14">
        <f t="shared" si="43"/>
        <v>104.16666666666667</v>
      </c>
      <c r="L131" s="14">
        <f t="shared" si="43"/>
        <v>104.16666666666667</v>
      </c>
      <c r="M131" s="14">
        <f t="shared" si="43"/>
        <v>104.16666666666667</v>
      </c>
      <c r="N131" s="14">
        <f t="shared" si="43"/>
        <v>104.16666666666667</v>
      </c>
      <c r="O131" s="14">
        <f t="shared" si="43"/>
        <v>104.16666666666667</v>
      </c>
      <c r="P131" s="43">
        <f t="shared" ref="P131:P138" si="44">SUM(D131:O131)</f>
        <v>1250</v>
      </c>
      <c r="Q131" t="s">
        <v>178</v>
      </c>
      <c r="R131" s="163">
        <v>2500</v>
      </c>
    </row>
    <row r="132" spans="1:18">
      <c r="A132" s="151">
        <v>6</v>
      </c>
      <c r="B132" s="152" t="s">
        <v>732</v>
      </c>
      <c r="C132" s="246"/>
      <c r="D132" s="14">
        <f t="shared" si="40"/>
        <v>104.16666666666667</v>
      </c>
      <c r="E132" s="14">
        <f t="shared" si="41"/>
        <v>104.16666666666667</v>
      </c>
      <c r="F132" s="14">
        <f t="shared" ref="F132:O132" si="45">+E132</f>
        <v>104.16666666666667</v>
      </c>
      <c r="G132" s="14">
        <f t="shared" si="45"/>
        <v>104.16666666666667</v>
      </c>
      <c r="H132" s="14">
        <f t="shared" si="45"/>
        <v>104.16666666666667</v>
      </c>
      <c r="I132" s="14">
        <f t="shared" si="45"/>
        <v>104.16666666666667</v>
      </c>
      <c r="J132" s="14">
        <f t="shared" si="45"/>
        <v>104.16666666666667</v>
      </c>
      <c r="K132" s="14">
        <f t="shared" si="45"/>
        <v>104.16666666666667</v>
      </c>
      <c r="L132" s="14">
        <f t="shared" si="45"/>
        <v>104.16666666666667</v>
      </c>
      <c r="M132" s="14">
        <f t="shared" si="45"/>
        <v>104.16666666666667</v>
      </c>
      <c r="N132" s="14">
        <f t="shared" si="45"/>
        <v>104.16666666666667</v>
      </c>
      <c r="O132" s="14">
        <f t="shared" si="45"/>
        <v>104.16666666666667</v>
      </c>
      <c r="P132" s="43">
        <f t="shared" si="44"/>
        <v>1250</v>
      </c>
      <c r="Q132" t="s">
        <v>178</v>
      </c>
      <c r="R132" s="163">
        <v>2500</v>
      </c>
    </row>
    <row r="133" spans="1:18">
      <c r="A133" s="151">
        <v>7</v>
      </c>
      <c r="B133" s="152" t="s">
        <v>163</v>
      </c>
      <c r="C133" s="246"/>
      <c r="D133" s="14">
        <f t="shared" si="40"/>
        <v>104.16666666666667</v>
      </c>
      <c r="E133" s="14">
        <f t="shared" si="41"/>
        <v>104.16666666666667</v>
      </c>
      <c r="F133" s="14">
        <f t="shared" ref="F133:O133" si="46">+E133</f>
        <v>104.16666666666667</v>
      </c>
      <c r="G133" s="14">
        <f t="shared" si="46"/>
        <v>104.16666666666667</v>
      </c>
      <c r="H133" s="14">
        <f t="shared" si="46"/>
        <v>104.16666666666667</v>
      </c>
      <c r="I133" s="14">
        <f t="shared" si="46"/>
        <v>104.16666666666667</v>
      </c>
      <c r="J133" s="14">
        <f t="shared" si="46"/>
        <v>104.16666666666667</v>
      </c>
      <c r="K133" s="14">
        <f t="shared" si="46"/>
        <v>104.16666666666667</v>
      </c>
      <c r="L133" s="14">
        <f t="shared" si="46"/>
        <v>104.16666666666667</v>
      </c>
      <c r="M133" s="14">
        <f t="shared" si="46"/>
        <v>104.16666666666667</v>
      </c>
      <c r="N133" s="14">
        <f t="shared" si="46"/>
        <v>104.16666666666667</v>
      </c>
      <c r="O133" s="14">
        <f t="shared" si="46"/>
        <v>104.16666666666667</v>
      </c>
      <c r="P133" s="43">
        <f t="shared" si="44"/>
        <v>1250</v>
      </c>
      <c r="Q133" t="s">
        <v>178</v>
      </c>
      <c r="R133" s="163">
        <v>2500</v>
      </c>
    </row>
    <row r="134" spans="1:18">
      <c r="A134" s="151">
        <v>8</v>
      </c>
      <c r="B134" s="152" t="s">
        <v>733</v>
      </c>
      <c r="C134" s="246"/>
      <c r="D134" s="14">
        <f t="shared" si="40"/>
        <v>104.16666666666667</v>
      </c>
      <c r="E134" s="14">
        <f t="shared" si="41"/>
        <v>104.16666666666667</v>
      </c>
      <c r="F134" s="14">
        <f t="shared" ref="F134:O134" si="47">+E134</f>
        <v>104.16666666666667</v>
      </c>
      <c r="G134" s="14">
        <f t="shared" si="47"/>
        <v>104.16666666666667</v>
      </c>
      <c r="H134" s="14">
        <f t="shared" si="47"/>
        <v>104.16666666666667</v>
      </c>
      <c r="I134" s="14">
        <f t="shared" si="47"/>
        <v>104.16666666666667</v>
      </c>
      <c r="J134" s="14">
        <f t="shared" si="47"/>
        <v>104.16666666666667</v>
      </c>
      <c r="K134" s="14">
        <f t="shared" si="47"/>
        <v>104.16666666666667</v>
      </c>
      <c r="L134" s="14">
        <f t="shared" si="47"/>
        <v>104.16666666666667</v>
      </c>
      <c r="M134" s="14">
        <f t="shared" si="47"/>
        <v>104.16666666666667</v>
      </c>
      <c r="N134" s="14">
        <f t="shared" si="47"/>
        <v>104.16666666666667</v>
      </c>
      <c r="O134" s="14">
        <f t="shared" si="47"/>
        <v>104.16666666666667</v>
      </c>
      <c r="P134" s="43">
        <f t="shared" si="44"/>
        <v>1250</v>
      </c>
      <c r="Q134" t="s">
        <v>178</v>
      </c>
      <c r="R134" s="163">
        <v>2500</v>
      </c>
    </row>
    <row r="135" spans="1:18">
      <c r="A135" s="151">
        <v>9</v>
      </c>
      <c r="B135" s="152" t="s">
        <v>734</v>
      </c>
      <c r="C135" s="246"/>
      <c r="D135" s="14">
        <f t="shared" si="40"/>
        <v>104.16666666666667</v>
      </c>
      <c r="E135" s="14">
        <f t="shared" si="41"/>
        <v>104.16666666666667</v>
      </c>
      <c r="F135" s="14">
        <f t="shared" ref="F135:O135" si="48">+E135</f>
        <v>104.16666666666667</v>
      </c>
      <c r="G135" s="14">
        <f t="shared" si="48"/>
        <v>104.16666666666667</v>
      </c>
      <c r="H135" s="14">
        <f t="shared" si="48"/>
        <v>104.16666666666667</v>
      </c>
      <c r="I135" s="14">
        <f t="shared" si="48"/>
        <v>104.16666666666667</v>
      </c>
      <c r="J135" s="14">
        <f t="shared" si="48"/>
        <v>104.16666666666667</v>
      </c>
      <c r="K135" s="14">
        <f t="shared" si="48"/>
        <v>104.16666666666667</v>
      </c>
      <c r="L135" s="14">
        <f t="shared" si="48"/>
        <v>104.16666666666667</v>
      </c>
      <c r="M135" s="14">
        <f t="shared" si="48"/>
        <v>104.16666666666667</v>
      </c>
      <c r="N135" s="14">
        <f t="shared" si="48"/>
        <v>104.16666666666667</v>
      </c>
      <c r="O135" s="14">
        <f t="shared" si="48"/>
        <v>104.16666666666667</v>
      </c>
      <c r="P135" s="43">
        <f t="shared" si="44"/>
        <v>1250</v>
      </c>
      <c r="Q135" t="s">
        <v>178</v>
      </c>
      <c r="R135" s="163">
        <v>2500</v>
      </c>
    </row>
    <row r="136" spans="1:18">
      <c r="A136" s="151">
        <v>10</v>
      </c>
      <c r="B136" s="152" t="s">
        <v>735</v>
      </c>
      <c r="C136" s="246"/>
      <c r="D136" s="14">
        <f t="shared" si="40"/>
        <v>104.16666666666667</v>
      </c>
      <c r="E136" s="14">
        <f>++D136</f>
        <v>104.16666666666667</v>
      </c>
      <c r="F136" s="14">
        <f t="shared" ref="F136:O136" si="49">++E136</f>
        <v>104.16666666666667</v>
      </c>
      <c r="G136" s="14">
        <f t="shared" si="49"/>
        <v>104.16666666666667</v>
      </c>
      <c r="H136" s="14">
        <f t="shared" si="49"/>
        <v>104.16666666666667</v>
      </c>
      <c r="I136" s="14">
        <f t="shared" si="49"/>
        <v>104.16666666666667</v>
      </c>
      <c r="J136" s="14">
        <f t="shared" si="49"/>
        <v>104.16666666666667</v>
      </c>
      <c r="K136" s="14">
        <f t="shared" si="49"/>
        <v>104.16666666666667</v>
      </c>
      <c r="L136" s="14">
        <f t="shared" si="49"/>
        <v>104.16666666666667</v>
      </c>
      <c r="M136" s="14">
        <f t="shared" si="49"/>
        <v>104.16666666666667</v>
      </c>
      <c r="N136" s="14">
        <f t="shared" si="49"/>
        <v>104.16666666666667</v>
      </c>
      <c r="O136" s="14">
        <f t="shared" si="49"/>
        <v>104.16666666666667</v>
      </c>
      <c r="P136" s="43">
        <f t="shared" si="44"/>
        <v>1250</v>
      </c>
      <c r="R136" s="163">
        <v>2500</v>
      </c>
    </row>
    <row r="137" spans="1:18">
      <c r="A137" s="151">
        <v>11</v>
      </c>
      <c r="B137" s="152" t="s">
        <v>736</v>
      </c>
      <c r="C137" s="246"/>
      <c r="D137" s="14">
        <f t="shared" si="40"/>
        <v>104.16666666666667</v>
      </c>
      <c r="E137" s="14">
        <f>+D137</f>
        <v>104.16666666666667</v>
      </c>
      <c r="F137" s="14">
        <f t="shared" ref="F137:O137" si="50">+E137</f>
        <v>104.16666666666667</v>
      </c>
      <c r="G137" s="14">
        <f t="shared" si="50"/>
        <v>104.16666666666667</v>
      </c>
      <c r="H137" s="14">
        <f t="shared" si="50"/>
        <v>104.16666666666667</v>
      </c>
      <c r="I137" s="14">
        <f t="shared" si="50"/>
        <v>104.16666666666667</v>
      </c>
      <c r="J137" s="14">
        <f t="shared" si="50"/>
        <v>104.16666666666667</v>
      </c>
      <c r="K137" s="14">
        <f t="shared" si="50"/>
        <v>104.16666666666667</v>
      </c>
      <c r="L137" s="14">
        <f t="shared" si="50"/>
        <v>104.16666666666667</v>
      </c>
      <c r="M137" s="14">
        <f t="shared" si="50"/>
        <v>104.16666666666667</v>
      </c>
      <c r="N137" s="14">
        <f t="shared" si="50"/>
        <v>104.16666666666667</v>
      </c>
      <c r="O137" s="14">
        <f t="shared" si="50"/>
        <v>104.16666666666667</v>
      </c>
      <c r="P137" s="43">
        <f t="shared" si="44"/>
        <v>1250</v>
      </c>
      <c r="R137" s="163">
        <v>2500</v>
      </c>
    </row>
    <row r="138" spans="1:18">
      <c r="A138" s="151">
        <v>12</v>
      </c>
      <c r="B138" s="152"/>
      <c r="C138" s="246"/>
      <c r="D138" s="14">
        <v>0</v>
      </c>
      <c r="E138" s="14">
        <f>+D138</f>
        <v>0</v>
      </c>
      <c r="F138" s="14">
        <f t="shared" ref="F138:O138" si="51">+E138</f>
        <v>0</v>
      </c>
      <c r="G138" s="14">
        <f t="shared" si="51"/>
        <v>0</v>
      </c>
      <c r="H138" s="14">
        <f t="shared" si="51"/>
        <v>0</v>
      </c>
      <c r="I138" s="14">
        <f t="shared" si="51"/>
        <v>0</v>
      </c>
      <c r="J138" s="14">
        <f t="shared" si="51"/>
        <v>0</v>
      </c>
      <c r="K138" s="14">
        <f t="shared" si="51"/>
        <v>0</v>
      </c>
      <c r="L138" s="14">
        <f t="shared" si="51"/>
        <v>0</v>
      </c>
      <c r="M138" s="14">
        <f t="shared" si="51"/>
        <v>0</v>
      </c>
      <c r="N138" s="14">
        <f t="shared" si="51"/>
        <v>0</v>
      </c>
      <c r="O138" s="14">
        <f t="shared" si="51"/>
        <v>0</v>
      </c>
      <c r="P138" s="43">
        <f t="shared" si="44"/>
        <v>0</v>
      </c>
      <c r="R138" s="163">
        <v>2500</v>
      </c>
    </row>
    <row r="139" spans="1:18">
      <c r="A139" s="151">
        <v>13</v>
      </c>
      <c r="B139" s="152" t="s">
        <v>739</v>
      </c>
      <c r="C139" s="246"/>
      <c r="D139" s="14">
        <f t="shared" si="40"/>
        <v>0</v>
      </c>
      <c r="E139" s="14">
        <f>+D139</f>
        <v>0</v>
      </c>
      <c r="F139" s="14">
        <f t="shared" ref="F139:O139" si="52">+E139</f>
        <v>0</v>
      </c>
      <c r="G139" s="14">
        <f t="shared" si="52"/>
        <v>0</v>
      </c>
      <c r="H139" s="14">
        <f t="shared" si="52"/>
        <v>0</v>
      </c>
      <c r="I139" s="14">
        <f t="shared" si="52"/>
        <v>0</v>
      </c>
      <c r="J139" s="14">
        <f t="shared" si="52"/>
        <v>0</v>
      </c>
      <c r="K139" s="14">
        <f t="shared" si="52"/>
        <v>0</v>
      </c>
      <c r="L139" s="14">
        <f t="shared" si="52"/>
        <v>0</v>
      </c>
      <c r="M139" s="14">
        <f t="shared" si="52"/>
        <v>0</v>
      </c>
      <c r="N139" s="14">
        <f t="shared" si="52"/>
        <v>0</v>
      </c>
      <c r="O139" s="14">
        <f t="shared" si="52"/>
        <v>0</v>
      </c>
      <c r="P139" s="43"/>
      <c r="R139" s="163"/>
    </row>
    <row r="140" spans="1:18">
      <c r="A140" s="151"/>
      <c r="B140" s="152"/>
      <c r="C140" s="279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43"/>
      <c r="R140" s="163"/>
    </row>
    <row r="141" spans="1:18">
      <c r="A141" s="151"/>
      <c r="B141" s="147" t="s">
        <v>168</v>
      </c>
      <c r="C141" s="279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43"/>
      <c r="R141" s="163"/>
    </row>
    <row r="142" spans="1:18">
      <c r="A142" s="151"/>
      <c r="B142" s="147"/>
      <c r="C142" s="246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43">
        <f>SUM(D142:O142)</f>
        <v>0</v>
      </c>
      <c r="R142" s="163"/>
    </row>
    <row r="143" spans="1:18">
      <c r="A143" s="151">
        <v>15</v>
      </c>
      <c r="B143" s="152" t="s">
        <v>161</v>
      </c>
      <c r="C143" s="246"/>
      <c r="D143" s="14">
        <f t="shared" ref="D143:D150" si="53">R143/24</f>
        <v>104.16666666666667</v>
      </c>
      <c r="E143" s="14">
        <f t="shared" ref="E143:E149" si="54">+D143</f>
        <v>104.16666666666667</v>
      </c>
      <c r="F143" s="14">
        <f t="shared" ref="F143:O143" si="55">+E143</f>
        <v>104.16666666666667</v>
      </c>
      <c r="G143" s="14">
        <f t="shared" si="55"/>
        <v>104.16666666666667</v>
      </c>
      <c r="H143" s="14">
        <f t="shared" si="55"/>
        <v>104.16666666666667</v>
      </c>
      <c r="I143" s="14">
        <f t="shared" si="55"/>
        <v>104.16666666666667</v>
      </c>
      <c r="J143" s="14">
        <f t="shared" si="55"/>
        <v>104.16666666666667</v>
      </c>
      <c r="K143" s="14">
        <f t="shared" si="55"/>
        <v>104.16666666666667</v>
      </c>
      <c r="L143" s="14">
        <f t="shared" si="55"/>
        <v>104.16666666666667</v>
      </c>
      <c r="M143" s="14">
        <f t="shared" si="55"/>
        <v>104.16666666666667</v>
      </c>
      <c r="N143" s="14">
        <f t="shared" si="55"/>
        <v>104.16666666666667</v>
      </c>
      <c r="O143" s="14">
        <f t="shared" si="55"/>
        <v>104.16666666666667</v>
      </c>
      <c r="P143" s="43">
        <f>SUM(D143:O143)</f>
        <v>1250</v>
      </c>
      <c r="Q143" t="s">
        <v>178</v>
      </c>
      <c r="R143" s="163">
        <v>2500</v>
      </c>
    </row>
    <row r="144" spans="1:18">
      <c r="A144" s="151">
        <v>16</v>
      </c>
      <c r="B144" s="152" t="s">
        <v>155</v>
      </c>
      <c r="C144" s="246"/>
      <c r="D144" s="14">
        <f t="shared" si="53"/>
        <v>104.16666666666667</v>
      </c>
      <c r="E144" s="14">
        <f t="shared" si="54"/>
        <v>104.16666666666667</v>
      </c>
      <c r="F144" s="14">
        <f t="shared" ref="F144:O144" si="56">+E144</f>
        <v>104.16666666666667</v>
      </c>
      <c r="G144" s="14">
        <f t="shared" si="56"/>
        <v>104.16666666666667</v>
      </c>
      <c r="H144" s="14">
        <f t="shared" si="56"/>
        <v>104.16666666666667</v>
      </c>
      <c r="I144" s="14">
        <f t="shared" si="56"/>
        <v>104.16666666666667</v>
      </c>
      <c r="J144" s="14">
        <f t="shared" si="56"/>
        <v>104.16666666666667</v>
      </c>
      <c r="K144" s="14">
        <f t="shared" si="56"/>
        <v>104.16666666666667</v>
      </c>
      <c r="L144" s="14">
        <f t="shared" si="56"/>
        <v>104.16666666666667</v>
      </c>
      <c r="M144" s="14">
        <f t="shared" si="56"/>
        <v>104.16666666666667</v>
      </c>
      <c r="N144" s="14">
        <f t="shared" si="56"/>
        <v>104.16666666666667</v>
      </c>
      <c r="O144" s="14">
        <f t="shared" si="56"/>
        <v>104.16666666666667</v>
      </c>
      <c r="P144" s="43">
        <f t="shared" ref="P144:P151" si="57">SUM(D144:O144)</f>
        <v>1250</v>
      </c>
      <c r="Q144" t="s">
        <v>178</v>
      </c>
      <c r="R144" s="163">
        <v>2500</v>
      </c>
    </row>
    <row r="145" spans="1:30">
      <c r="A145" s="151">
        <v>17</v>
      </c>
      <c r="B145" s="152" t="s">
        <v>575</v>
      </c>
      <c r="C145" s="246"/>
      <c r="D145" s="14">
        <f t="shared" si="53"/>
        <v>104.16666666666667</v>
      </c>
      <c r="E145" s="14">
        <f t="shared" si="54"/>
        <v>104.16666666666667</v>
      </c>
      <c r="F145" s="14">
        <f t="shared" ref="F145:O145" si="58">+E145</f>
        <v>104.16666666666667</v>
      </c>
      <c r="G145" s="14">
        <f t="shared" si="58"/>
        <v>104.16666666666667</v>
      </c>
      <c r="H145" s="14">
        <f t="shared" si="58"/>
        <v>104.16666666666667</v>
      </c>
      <c r="I145" s="14">
        <f t="shared" si="58"/>
        <v>104.16666666666667</v>
      </c>
      <c r="J145" s="14">
        <f t="shared" si="58"/>
        <v>104.16666666666667</v>
      </c>
      <c r="K145" s="14">
        <f t="shared" si="58"/>
        <v>104.16666666666667</v>
      </c>
      <c r="L145" s="14">
        <f t="shared" si="58"/>
        <v>104.16666666666667</v>
      </c>
      <c r="M145" s="14">
        <f t="shared" si="58"/>
        <v>104.16666666666667</v>
      </c>
      <c r="N145" s="14">
        <f t="shared" si="58"/>
        <v>104.16666666666667</v>
      </c>
      <c r="O145" s="14">
        <f t="shared" si="58"/>
        <v>104.16666666666667</v>
      </c>
      <c r="P145" s="43">
        <f t="shared" si="57"/>
        <v>1250</v>
      </c>
      <c r="Q145" t="s">
        <v>180</v>
      </c>
      <c r="R145" s="163">
        <v>2500</v>
      </c>
    </row>
    <row r="146" spans="1:30">
      <c r="A146" s="151">
        <v>18</v>
      </c>
      <c r="B146" s="152" t="s">
        <v>159</v>
      </c>
      <c r="C146" s="246"/>
      <c r="D146" s="14">
        <f t="shared" si="53"/>
        <v>104.16666666666667</v>
      </c>
      <c r="E146" s="14">
        <f t="shared" si="54"/>
        <v>104.16666666666667</v>
      </c>
      <c r="F146" s="14">
        <f t="shared" ref="F146:O146" si="59">+E146</f>
        <v>104.16666666666667</v>
      </c>
      <c r="G146" s="14">
        <f t="shared" si="59"/>
        <v>104.16666666666667</v>
      </c>
      <c r="H146" s="14">
        <f t="shared" si="59"/>
        <v>104.16666666666667</v>
      </c>
      <c r="I146" s="14">
        <f t="shared" si="59"/>
        <v>104.16666666666667</v>
      </c>
      <c r="J146" s="14">
        <f t="shared" si="59"/>
        <v>104.16666666666667</v>
      </c>
      <c r="K146" s="14">
        <f t="shared" si="59"/>
        <v>104.16666666666667</v>
      </c>
      <c r="L146" s="14">
        <f t="shared" si="59"/>
        <v>104.16666666666667</v>
      </c>
      <c r="M146" s="14">
        <f t="shared" si="59"/>
        <v>104.16666666666667</v>
      </c>
      <c r="N146" s="14">
        <f t="shared" si="59"/>
        <v>104.16666666666667</v>
      </c>
      <c r="O146" s="14">
        <f t="shared" si="59"/>
        <v>104.16666666666667</v>
      </c>
      <c r="P146" s="43">
        <f t="shared" si="57"/>
        <v>1250</v>
      </c>
      <c r="Q146" t="s">
        <v>178</v>
      </c>
      <c r="R146" s="163">
        <v>2500</v>
      </c>
    </row>
    <row r="147" spans="1:30">
      <c r="A147" s="151">
        <v>19</v>
      </c>
      <c r="B147" s="152" t="s">
        <v>160</v>
      </c>
      <c r="C147" s="246"/>
      <c r="D147" s="14">
        <f t="shared" si="53"/>
        <v>104.16666666666667</v>
      </c>
      <c r="E147" s="14">
        <f t="shared" si="54"/>
        <v>104.16666666666667</v>
      </c>
      <c r="F147" s="14">
        <f t="shared" ref="F147:O147" si="60">+E147</f>
        <v>104.16666666666667</v>
      </c>
      <c r="G147" s="14">
        <f t="shared" si="60"/>
        <v>104.16666666666667</v>
      </c>
      <c r="H147" s="14">
        <f t="shared" si="60"/>
        <v>104.16666666666667</v>
      </c>
      <c r="I147" s="14">
        <f t="shared" si="60"/>
        <v>104.16666666666667</v>
      </c>
      <c r="J147" s="14">
        <f t="shared" si="60"/>
        <v>104.16666666666667</v>
      </c>
      <c r="K147" s="14">
        <f t="shared" si="60"/>
        <v>104.16666666666667</v>
      </c>
      <c r="L147" s="14">
        <f t="shared" si="60"/>
        <v>104.16666666666667</v>
      </c>
      <c r="M147" s="14">
        <f t="shared" si="60"/>
        <v>104.16666666666667</v>
      </c>
      <c r="N147" s="14">
        <f t="shared" si="60"/>
        <v>104.16666666666667</v>
      </c>
      <c r="O147" s="14">
        <f t="shared" si="60"/>
        <v>104.16666666666667</v>
      </c>
      <c r="P147" s="43">
        <f t="shared" si="57"/>
        <v>1250</v>
      </c>
      <c r="Q147" t="s">
        <v>178</v>
      </c>
      <c r="R147" s="163">
        <v>2500</v>
      </c>
    </row>
    <row r="148" spans="1:30">
      <c r="A148" s="151">
        <v>20</v>
      </c>
      <c r="B148" s="152" t="s">
        <v>165</v>
      </c>
      <c r="C148" s="246"/>
      <c r="D148" s="14">
        <f t="shared" si="53"/>
        <v>104.16666666666667</v>
      </c>
      <c r="E148" s="14">
        <f t="shared" si="54"/>
        <v>104.16666666666667</v>
      </c>
      <c r="F148" s="14">
        <f t="shared" ref="F148:O148" si="61">+E148</f>
        <v>104.16666666666667</v>
      </c>
      <c r="G148" s="14">
        <f t="shared" si="61"/>
        <v>104.16666666666667</v>
      </c>
      <c r="H148" s="14">
        <f t="shared" si="61"/>
        <v>104.16666666666667</v>
      </c>
      <c r="I148" s="14">
        <f t="shared" si="61"/>
        <v>104.16666666666667</v>
      </c>
      <c r="J148" s="14">
        <f t="shared" si="61"/>
        <v>104.16666666666667</v>
      </c>
      <c r="K148" s="14">
        <f t="shared" si="61"/>
        <v>104.16666666666667</v>
      </c>
      <c r="L148" s="14">
        <f t="shared" si="61"/>
        <v>104.16666666666667</v>
      </c>
      <c r="M148" s="14">
        <f t="shared" si="61"/>
        <v>104.16666666666667</v>
      </c>
      <c r="N148" s="14">
        <f t="shared" si="61"/>
        <v>104.16666666666667</v>
      </c>
      <c r="O148" s="14">
        <f t="shared" si="61"/>
        <v>104.16666666666667</v>
      </c>
      <c r="P148" s="43">
        <f t="shared" si="57"/>
        <v>1250</v>
      </c>
      <c r="Q148" t="s">
        <v>178</v>
      </c>
      <c r="R148" s="163">
        <v>2500</v>
      </c>
    </row>
    <row r="149" spans="1:30">
      <c r="A149" s="151">
        <v>21</v>
      </c>
      <c r="B149" s="152" t="s">
        <v>737</v>
      </c>
      <c r="C149" s="246"/>
      <c r="D149" s="14">
        <f t="shared" si="53"/>
        <v>104.16666666666667</v>
      </c>
      <c r="E149" s="14">
        <f t="shared" si="54"/>
        <v>104.16666666666667</v>
      </c>
      <c r="F149" s="14">
        <f t="shared" ref="F149:O151" si="62">+E149</f>
        <v>104.16666666666667</v>
      </c>
      <c r="G149" s="14">
        <f t="shared" si="62"/>
        <v>104.16666666666667</v>
      </c>
      <c r="H149" s="14">
        <f t="shared" si="62"/>
        <v>104.16666666666667</v>
      </c>
      <c r="I149" s="14">
        <f t="shared" si="62"/>
        <v>104.16666666666667</v>
      </c>
      <c r="J149" s="14">
        <f t="shared" si="62"/>
        <v>104.16666666666667</v>
      </c>
      <c r="K149" s="14">
        <f t="shared" si="62"/>
        <v>104.16666666666667</v>
      </c>
      <c r="L149" s="14">
        <f t="shared" si="62"/>
        <v>104.16666666666667</v>
      </c>
      <c r="M149" s="14">
        <f t="shared" si="62"/>
        <v>104.16666666666667</v>
      </c>
      <c r="N149" s="14">
        <f t="shared" si="62"/>
        <v>104.16666666666667</v>
      </c>
      <c r="O149" s="14">
        <f t="shared" si="62"/>
        <v>104.16666666666667</v>
      </c>
      <c r="P149" s="43">
        <f t="shared" si="57"/>
        <v>1250</v>
      </c>
      <c r="Q149" t="s">
        <v>703</v>
      </c>
      <c r="R149" s="163">
        <v>2500</v>
      </c>
    </row>
    <row r="150" spans="1:30">
      <c r="A150" s="483"/>
      <c r="B150" s="152" t="s">
        <v>738</v>
      </c>
      <c r="C150" s="246"/>
      <c r="D150" s="14">
        <f t="shared" si="53"/>
        <v>104.16666666666667</v>
      </c>
      <c r="E150" s="14">
        <f>+R150/24</f>
        <v>104.16666666666667</v>
      </c>
      <c r="F150" s="14">
        <f t="shared" si="62"/>
        <v>104.16666666666667</v>
      </c>
      <c r="G150" s="14">
        <f t="shared" si="62"/>
        <v>104.16666666666667</v>
      </c>
      <c r="H150" s="14">
        <f t="shared" si="62"/>
        <v>104.16666666666667</v>
      </c>
      <c r="I150" s="14">
        <f t="shared" si="62"/>
        <v>104.16666666666667</v>
      </c>
      <c r="J150" s="14">
        <f t="shared" si="62"/>
        <v>104.16666666666667</v>
      </c>
      <c r="K150" s="14">
        <f t="shared" si="62"/>
        <v>104.16666666666667</v>
      </c>
      <c r="L150" s="14">
        <f t="shared" si="62"/>
        <v>104.16666666666667</v>
      </c>
      <c r="M150" s="14">
        <f t="shared" si="62"/>
        <v>104.16666666666667</v>
      </c>
      <c r="N150" s="14">
        <f t="shared" si="62"/>
        <v>104.16666666666667</v>
      </c>
      <c r="O150" s="14">
        <f t="shared" si="62"/>
        <v>104.16666666666667</v>
      </c>
      <c r="P150" s="43">
        <f t="shared" si="57"/>
        <v>1250</v>
      </c>
      <c r="R150" s="163">
        <v>2500</v>
      </c>
    </row>
    <row r="151" spans="1:30">
      <c r="A151" s="483"/>
      <c r="B151" s="152"/>
      <c r="C151" s="246"/>
      <c r="D151" s="14">
        <v>0</v>
      </c>
      <c r="E151" s="14">
        <v>0</v>
      </c>
      <c r="F151" s="14">
        <v>0</v>
      </c>
      <c r="G151" s="14"/>
      <c r="H151" s="14">
        <f t="shared" si="62"/>
        <v>0</v>
      </c>
      <c r="I151" s="14">
        <f t="shared" si="62"/>
        <v>0</v>
      </c>
      <c r="J151" s="14">
        <f t="shared" si="62"/>
        <v>0</v>
      </c>
      <c r="K151" s="14">
        <f t="shared" si="62"/>
        <v>0</v>
      </c>
      <c r="L151" s="14">
        <f t="shared" si="62"/>
        <v>0</v>
      </c>
      <c r="M151" s="14">
        <f t="shared" si="62"/>
        <v>0</v>
      </c>
      <c r="N151" s="14">
        <f t="shared" si="62"/>
        <v>0</v>
      </c>
      <c r="O151" s="14">
        <f t="shared" si="62"/>
        <v>0</v>
      </c>
      <c r="P151" s="43">
        <f t="shared" si="57"/>
        <v>0</v>
      </c>
      <c r="R151" s="163"/>
    </row>
    <row r="152" spans="1:30">
      <c r="B152" s="268"/>
      <c r="C152" s="9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43"/>
    </row>
    <row r="153" spans="1:30">
      <c r="B153" s="269" t="s">
        <v>408</v>
      </c>
      <c r="C153" s="165"/>
      <c r="D153" s="51">
        <f>SUM(D122:D152)</f>
        <v>2291.666666666667</v>
      </c>
      <c r="E153" s="51">
        <f t="shared" ref="E153:O153" si="63">SUM(E122:E152)</f>
        <v>2291.666666666667</v>
      </c>
      <c r="F153" s="51">
        <f t="shared" si="63"/>
        <v>2291.666666666667</v>
      </c>
      <c r="G153" s="51">
        <f t="shared" si="63"/>
        <v>2291.666666666667</v>
      </c>
      <c r="H153" s="51">
        <f t="shared" si="63"/>
        <v>2291.666666666667</v>
      </c>
      <c r="I153" s="51">
        <f t="shared" si="63"/>
        <v>2291.666666666667</v>
      </c>
      <c r="J153" s="51">
        <f t="shared" si="63"/>
        <v>2291.666666666667</v>
      </c>
      <c r="K153" s="51">
        <f t="shared" si="63"/>
        <v>2291.666666666667</v>
      </c>
      <c r="L153" s="51">
        <f t="shared" si="63"/>
        <v>2291.666666666667</v>
      </c>
      <c r="M153" s="51">
        <f t="shared" si="63"/>
        <v>2291.666666666667</v>
      </c>
      <c r="N153" s="51">
        <f t="shared" si="63"/>
        <v>2291.666666666667</v>
      </c>
      <c r="O153" s="51">
        <f t="shared" si="63"/>
        <v>2291.666666666667</v>
      </c>
      <c r="P153" s="87">
        <f>SUM(P122:P152)</f>
        <v>22500</v>
      </c>
    </row>
    <row r="154" spans="1:30">
      <c r="B154" s="37"/>
    </row>
    <row r="155" spans="1:30">
      <c r="B155" s="37"/>
    </row>
    <row r="156" spans="1:30" ht="21.75" customHeight="1">
      <c r="B156" s="37"/>
    </row>
    <row r="157" spans="1:30">
      <c r="A157" s="449" t="s">
        <v>145</v>
      </c>
      <c r="B157" s="450" t="s">
        <v>146</v>
      </c>
      <c r="C157" s="451" t="s">
        <v>147</v>
      </c>
      <c r="D157" s="452"/>
      <c r="E157" s="452"/>
      <c r="F157" s="452"/>
      <c r="G157" s="452"/>
      <c r="H157" s="452"/>
      <c r="I157" s="452"/>
      <c r="J157" s="452"/>
      <c r="K157" s="452"/>
      <c r="L157" s="452"/>
      <c r="M157" s="452"/>
      <c r="N157" s="452"/>
      <c r="O157" s="452"/>
      <c r="P157" s="452"/>
      <c r="Q157" s="452"/>
      <c r="R157" s="452"/>
      <c r="S157" s="452"/>
      <c r="T157" s="452"/>
      <c r="U157" s="452"/>
      <c r="V157" s="452"/>
      <c r="W157" s="452"/>
      <c r="X157" s="452"/>
      <c r="Y157" s="452"/>
      <c r="Z157" s="452"/>
      <c r="AA157" s="452"/>
      <c r="AB157" s="452"/>
      <c r="AC157" s="452"/>
      <c r="AD157" s="452"/>
    </row>
    <row r="158" spans="1:30">
      <c r="A158" s="453"/>
      <c r="B158" s="454"/>
      <c r="C158" s="455" t="s">
        <v>149</v>
      </c>
      <c r="D158" s="452"/>
      <c r="E158" s="452"/>
      <c r="F158" s="452"/>
      <c r="G158" s="452"/>
      <c r="H158" s="452"/>
      <c r="I158" s="452"/>
      <c r="J158" s="452"/>
      <c r="K158" s="452"/>
      <c r="L158" s="452"/>
      <c r="M158" s="452"/>
      <c r="N158" s="452"/>
      <c r="O158" s="452"/>
      <c r="P158" s="452"/>
      <c r="Q158" s="452"/>
      <c r="R158" s="452"/>
      <c r="S158" s="452"/>
      <c r="T158" s="452"/>
      <c r="U158" s="452"/>
      <c r="V158" s="452"/>
      <c r="W158" s="452"/>
      <c r="X158" s="452"/>
      <c r="Y158" s="452"/>
      <c r="Z158" s="452"/>
      <c r="AA158" s="452"/>
      <c r="AB158" s="452"/>
      <c r="AC158" s="452"/>
      <c r="AD158" s="452"/>
    </row>
    <row r="159" spans="1:30">
      <c r="A159" s="456"/>
      <c r="B159" s="457" t="s">
        <v>167</v>
      </c>
      <c r="C159" s="457"/>
      <c r="D159" s="452"/>
      <c r="E159" s="452"/>
      <c r="F159" s="452"/>
      <c r="G159" s="452"/>
      <c r="H159" s="452"/>
      <c r="I159" s="452"/>
      <c r="J159" s="452"/>
      <c r="K159" s="452"/>
      <c r="L159" s="452"/>
      <c r="M159" s="452"/>
      <c r="N159" s="452"/>
      <c r="O159" s="452"/>
      <c r="P159" s="452"/>
      <c r="Q159" s="452"/>
      <c r="R159" s="452"/>
      <c r="S159" s="452"/>
      <c r="T159" s="452"/>
      <c r="U159" s="452"/>
      <c r="V159" s="452"/>
      <c r="W159" s="452"/>
      <c r="X159" s="452"/>
      <c r="Y159" s="452"/>
      <c r="Z159" s="452"/>
      <c r="AA159" s="452"/>
      <c r="AB159" s="452"/>
      <c r="AC159" s="452"/>
      <c r="AD159" s="452"/>
    </row>
    <row r="160" spans="1:30">
      <c r="A160" s="456"/>
      <c r="B160" s="457"/>
      <c r="C160" s="457"/>
      <c r="D160" s="452"/>
      <c r="E160" s="452"/>
      <c r="F160" s="452"/>
      <c r="G160" s="452"/>
      <c r="H160" s="452"/>
      <c r="I160" s="452"/>
      <c r="J160" s="452"/>
      <c r="K160" s="452"/>
      <c r="L160" s="452"/>
      <c r="M160" s="452"/>
      <c r="N160" s="452"/>
      <c r="O160" s="452"/>
      <c r="P160" s="452"/>
      <c r="Q160" s="452"/>
      <c r="R160" s="452"/>
      <c r="S160" s="452"/>
      <c r="T160" s="452"/>
      <c r="U160" s="452"/>
      <c r="V160" s="452"/>
      <c r="W160" s="452"/>
      <c r="X160" s="452"/>
      <c r="Y160" s="452"/>
      <c r="Z160" s="452"/>
      <c r="AA160" s="452"/>
      <c r="AB160" s="452"/>
      <c r="AC160" s="452"/>
      <c r="AD160" s="452"/>
    </row>
    <row r="161" spans="1:30">
      <c r="A161" s="458">
        <v>1</v>
      </c>
      <c r="B161" s="459" t="s">
        <v>169</v>
      </c>
      <c r="C161" s="460">
        <v>35886</v>
      </c>
      <c r="D161" s="452"/>
      <c r="E161" s="452"/>
      <c r="F161" s="452"/>
      <c r="G161" s="452"/>
      <c r="H161" s="452"/>
      <c r="I161" s="452"/>
      <c r="J161" s="452"/>
      <c r="K161" s="452"/>
      <c r="L161" s="452"/>
      <c r="M161" s="452"/>
      <c r="N161" s="452"/>
      <c r="O161" s="452"/>
      <c r="P161" s="452"/>
      <c r="Q161" s="452"/>
      <c r="R161" s="452"/>
      <c r="S161" s="452"/>
      <c r="T161" s="452"/>
      <c r="U161" s="452"/>
      <c r="V161" s="452"/>
      <c r="W161" s="452"/>
      <c r="X161" s="452"/>
      <c r="Y161" s="452"/>
      <c r="Z161" s="452"/>
      <c r="AA161" s="452"/>
      <c r="AB161" s="452"/>
      <c r="AC161" s="452"/>
      <c r="AD161" s="452"/>
    </row>
    <row r="162" spans="1:30">
      <c r="A162" s="458">
        <v>2</v>
      </c>
      <c r="B162" s="459" t="s">
        <v>154</v>
      </c>
      <c r="C162" s="460">
        <v>36006</v>
      </c>
      <c r="D162" s="452"/>
      <c r="E162" s="452"/>
      <c r="F162" s="452"/>
      <c r="G162" s="452"/>
      <c r="H162" s="452"/>
      <c r="I162" s="452"/>
      <c r="J162" s="452">
        <v>1400</v>
      </c>
      <c r="K162" s="452"/>
      <c r="L162" s="452"/>
      <c r="M162" s="452"/>
      <c r="N162" s="452"/>
      <c r="O162" s="452"/>
      <c r="P162" s="452">
        <f t="shared" ref="P162:P187" si="64">SUM(D162:O162)</f>
        <v>1400</v>
      </c>
      <c r="Q162" s="452"/>
      <c r="R162" s="452"/>
      <c r="S162" s="452"/>
      <c r="T162" s="452"/>
      <c r="U162" s="452"/>
      <c r="V162" s="452"/>
      <c r="W162" s="452"/>
      <c r="X162" s="452"/>
      <c r="Y162" s="452"/>
      <c r="Z162" s="452"/>
      <c r="AA162" s="452"/>
      <c r="AB162" s="452"/>
      <c r="AC162" s="452"/>
      <c r="AD162" s="452"/>
    </row>
    <row r="163" spans="1:30">
      <c r="A163" s="458">
        <v>4</v>
      </c>
      <c r="B163" s="459" t="s">
        <v>573</v>
      </c>
      <c r="C163" s="460">
        <v>37101</v>
      </c>
      <c r="D163" s="452"/>
      <c r="E163" s="452"/>
      <c r="F163" s="452"/>
      <c r="G163" s="452"/>
      <c r="H163" s="452"/>
      <c r="I163" s="452"/>
      <c r="J163" s="452">
        <v>5000</v>
      </c>
      <c r="K163" s="452"/>
      <c r="L163" s="452"/>
      <c r="M163" s="452"/>
      <c r="N163" s="452"/>
      <c r="O163" s="452"/>
      <c r="P163" s="452">
        <f t="shared" si="64"/>
        <v>5000</v>
      </c>
      <c r="Q163" s="452"/>
      <c r="R163" s="452"/>
      <c r="S163" s="452"/>
      <c r="T163" s="452"/>
      <c r="U163" s="452"/>
      <c r="V163" s="452"/>
      <c r="W163" s="452"/>
      <c r="X163" s="452"/>
      <c r="Y163" s="452"/>
      <c r="Z163" s="452"/>
      <c r="AA163" s="452"/>
      <c r="AB163" s="452"/>
      <c r="AC163" s="452"/>
      <c r="AD163" s="452"/>
    </row>
    <row r="164" spans="1:30">
      <c r="A164" s="458">
        <v>5</v>
      </c>
      <c r="B164" s="459" t="s">
        <v>171</v>
      </c>
      <c r="C164" s="460"/>
      <c r="D164" s="452"/>
      <c r="E164" s="452"/>
      <c r="F164" s="452"/>
      <c r="G164" s="452"/>
      <c r="H164" s="452"/>
      <c r="I164" s="452"/>
      <c r="J164" s="452"/>
      <c r="K164" s="452"/>
      <c r="L164" s="452"/>
      <c r="M164" s="452"/>
      <c r="N164" s="452"/>
      <c r="O164" s="452"/>
      <c r="P164" s="452"/>
      <c r="Q164" s="452"/>
      <c r="R164" s="452"/>
      <c r="S164" s="452"/>
      <c r="T164" s="452"/>
      <c r="U164" s="452"/>
      <c r="V164" s="452"/>
      <c r="W164" s="452"/>
      <c r="X164" s="452"/>
      <c r="Y164" s="452"/>
      <c r="Z164" s="452"/>
      <c r="AA164" s="452"/>
      <c r="AB164" s="452"/>
      <c r="AC164" s="452"/>
      <c r="AD164" s="452"/>
    </row>
    <row r="165" spans="1:30">
      <c r="A165" s="458">
        <v>6</v>
      </c>
      <c r="B165" s="459" t="s">
        <v>172</v>
      </c>
      <c r="C165" s="460"/>
      <c r="D165" s="452"/>
      <c r="E165" s="452"/>
      <c r="F165" s="452"/>
      <c r="G165" s="452"/>
      <c r="H165" s="452"/>
      <c r="I165" s="452"/>
      <c r="J165" s="452"/>
      <c r="K165" s="452"/>
      <c r="L165" s="452"/>
      <c r="M165" s="452"/>
      <c r="N165" s="452"/>
      <c r="O165" s="452"/>
      <c r="P165" s="452"/>
      <c r="Q165" s="452"/>
      <c r="R165" s="452"/>
      <c r="S165" s="452"/>
      <c r="T165" s="452"/>
      <c r="U165" s="452"/>
      <c r="V165" s="452"/>
      <c r="W165" s="452"/>
      <c r="X165" s="452"/>
      <c r="Y165" s="452"/>
      <c r="Z165" s="452"/>
      <c r="AA165" s="452"/>
      <c r="AB165" s="452"/>
      <c r="AC165" s="452"/>
      <c r="AD165" s="452"/>
    </row>
    <row r="166" spans="1:30">
      <c r="A166" s="461"/>
      <c r="B166" s="459"/>
      <c r="C166" s="460"/>
      <c r="D166" s="452"/>
      <c r="E166" s="452"/>
      <c r="F166" s="452"/>
      <c r="G166" s="452"/>
      <c r="H166" s="452"/>
      <c r="I166" s="452"/>
      <c r="J166" s="452"/>
      <c r="K166" s="452"/>
      <c r="L166" s="452"/>
      <c r="M166" s="452"/>
      <c r="N166" s="452"/>
      <c r="O166" s="452"/>
      <c r="P166" s="452"/>
      <c r="Q166" s="452"/>
      <c r="R166" s="452"/>
      <c r="S166" s="452"/>
      <c r="T166" s="452"/>
      <c r="U166" s="452"/>
      <c r="V166" s="452"/>
      <c r="W166" s="452"/>
      <c r="X166" s="452"/>
      <c r="Y166" s="452"/>
      <c r="Z166" s="452"/>
      <c r="AA166" s="452"/>
      <c r="AB166" s="452"/>
      <c r="AC166" s="452"/>
      <c r="AD166" s="452"/>
    </row>
    <row r="167" spans="1:30">
      <c r="A167" s="461"/>
      <c r="B167" s="459"/>
      <c r="C167" s="460"/>
      <c r="D167" s="452"/>
      <c r="E167" s="452"/>
      <c r="F167" s="452"/>
      <c r="G167" s="452"/>
      <c r="H167" s="452"/>
      <c r="I167" s="452"/>
      <c r="J167" s="452"/>
      <c r="K167" s="452"/>
      <c r="L167" s="452"/>
      <c r="M167" s="452"/>
      <c r="N167" s="452"/>
      <c r="O167" s="452"/>
      <c r="P167" s="452"/>
      <c r="Q167" s="452"/>
      <c r="R167" s="452"/>
      <c r="S167" s="452"/>
      <c r="T167" s="452"/>
      <c r="U167" s="452"/>
      <c r="V167" s="452"/>
      <c r="W167" s="452"/>
      <c r="X167" s="452"/>
      <c r="Y167" s="452"/>
      <c r="Z167" s="452"/>
      <c r="AA167" s="452"/>
      <c r="AB167" s="452"/>
      <c r="AC167" s="452"/>
      <c r="AD167" s="452"/>
    </row>
    <row r="168" spans="1:30">
      <c r="A168" s="461"/>
      <c r="B168" s="457" t="s">
        <v>166</v>
      </c>
      <c r="C168" s="460"/>
      <c r="D168" s="452"/>
      <c r="E168" s="452"/>
      <c r="F168" s="452"/>
      <c r="G168" s="452"/>
      <c r="H168" s="452"/>
      <c r="I168" s="452"/>
      <c r="J168" s="452"/>
      <c r="K168" s="452"/>
      <c r="L168" s="452"/>
      <c r="M168" s="452"/>
      <c r="N168" s="452"/>
      <c r="O168" s="452"/>
      <c r="P168" s="452"/>
      <c r="Q168" s="452"/>
      <c r="R168" s="452"/>
      <c r="S168" s="452"/>
      <c r="T168" s="452"/>
      <c r="U168" s="452"/>
      <c r="V168" s="452"/>
      <c r="W168" s="452"/>
      <c r="X168" s="452"/>
      <c r="Y168" s="452"/>
      <c r="Z168" s="452"/>
      <c r="AA168" s="452"/>
      <c r="AB168" s="452"/>
      <c r="AC168" s="452"/>
      <c r="AD168" s="452"/>
    </row>
    <row r="169" spans="1:30">
      <c r="A169" s="461"/>
      <c r="B169" s="457"/>
      <c r="C169" s="460"/>
      <c r="D169" s="452"/>
      <c r="E169" s="452"/>
      <c r="F169" s="452"/>
      <c r="G169" s="452"/>
      <c r="H169" s="452"/>
      <c r="I169" s="452"/>
      <c r="J169" s="452"/>
      <c r="K169" s="452"/>
      <c r="L169" s="452"/>
      <c r="M169" s="452"/>
      <c r="N169" s="452"/>
      <c r="O169" s="452"/>
      <c r="P169" s="452"/>
      <c r="Q169" s="452"/>
      <c r="R169" s="452"/>
      <c r="S169" s="452"/>
      <c r="T169" s="452"/>
      <c r="U169" s="452"/>
      <c r="V169" s="452"/>
      <c r="W169" s="452"/>
      <c r="X169" s="452"/>
      <c r="Y169" s="452"/>
      <c r="Z169" s="452"/>
      <c r="AA169" s="452"/>
      <c r="AB169" s="452"/>
      <c r="AC169" s="452"/>
      <c r="AD169" s="452"/>
    </row>
    <row r="170" spans="1:30">
      <c r="A170" s="461">
        <v>7</v>
      </c>
      <c r="B170" s="459" t="s">
        <v>156</v>
      </c>
      <c r="C170" s="460">
        <v>36093</v>
      </c>
      <c r="D170" s="452"/>
      <c r="E170" s="452"/>
      <c r="F170" s="452"/>
      <c r="G170" s="452"/>
      <c r="H170" s="452"/>
      <c r="I170" s="452"/>
      <c r="J170" s="452"/>
      <c r="K170" s="452"/>
      <c r="L170" s="452"/>
      <c r="M170" s="452"/>
      <c r="N170" s="452">
        <v>11000</v>
      </c>
      <c r="O170" s="452"/>
      <c r="P170" s="452">
        <f t="shared" si="64"/>
        <v>11000</v>
      </c>
      <c r="Q170" s="452"/>
      <c r="R170" s="452"/>
      <c r="S170" s="452"/>
      <c r="T170" s="452"/>
      <c r="U170" s="452"/>
      <c r="V170" s="452"/>
      <c r="W170" s="452"/>
      <c r="X170" s="452"/>
      <c r="Y170" s="452"/>
      <c r="Z170" s="452"/>
      <c r="AA170" s="452"/>
      <c r="AB170" s="452"/>
      <c r="AC170" s="452"/>
      <c r="AD170" s="452"/>
    </row>
    <row r="171" spans="1:30">
      <c r="A171" s="461">
        <v>8</v>
      </c>
      <c r="B171" s="459" t="s">
        <v>575</v>
      </c>
      <c r="C171" s="460">
        <v>37143</v>
      </c>
      <c r="D171" s="452"/>
      <c r="E171" s="452"/>
      <c r="F171" s="452"/>
      <c r="G171" s="452"/>
      <c r="H171" s="452"/>
      <c r="I171" s="452"/>
      <c r="J171" s="452">
        <v>6000</v>
      </c>
      <c r="K171" s="452"/>
      <c r="L171" s="452"/>
      <c r="M171" s="452"/>
      <c r="N171" s="452"/>
      <c r="O171" s="452"/>
      <c r="P171" s="452">
        <f t="shared" si="64"/>
        <v>6000</v>
      </c>
      <c r="Q171" s="452"/>
      <c r="R171" s="452"/>
      <c r="S171" s="452"/>
      <c r="T171" s="452"/>
      <c r="U171" s="452"/>
      <c r="V171" s="452"/>
      <c r="W171" s="452"/>
      <c r="X171" s="452"/>
      <c r="Y171" s="452"/>
      <c r="Z171" s="452"/>
      <c r="AA171" s="452"/>
      <c r="AB171" s="452"/>
      <c r="AC171" s="452"/>
      <c r="AD171" s="452"/>
    </row>
    <row r="172" spans="1:30">
      <c r="A172" s="461">
        <v>9</v>
      </c>
      <c r="B172" s="459" t="s">
        <v>158</v>
      </c>
      <c r="C172" s="460">
        <v>36390</v>
      </c>
      <c r="D172" s="452"/>
      <c r="E172" s="452"/>
      <c r="F172" s="452"/>
      <c r="G172" s="452"/>
      <c r="H172" s="452"/>
      <c r="I172" s="452"/>
      <c r="J172" s="452"/>
      <c r="K172" s="452"/>
      <c r="L172" s="452"/>
      <c r="M172" s="452"/>
      <c r="N172" s="452"/>
      <c r="O172" s="452">
        <v>7250</v>
      </c>
      <c r="P172" s="452">
        <f t="shared" si="64"/>
        <v>7250</v>
      </c>
      <c r="Q172" s="452"/>
      <c r="R172" s="452"/>
      <c r="S172" s="452"/>
      <c r="T172" s="452"/>
      <c r="U172" s="452"/>
      <c r="V172" s="452"/>
      <c r="W172" s="452"/>
      <c r="X172" s="452"/>
      <c r="Y172" s="452"/>
      <c r="Z172" s="452"/>
      <c r="AA172" s="452"/>
      <c r="AB172" s="452"/>
      <c r="AC172" s="452"/>
      <c r="AD172" s="452"/>
    </row>
    <row r="173" spans="1:30">
      <c r="A173" s="461">
        <v>10</v>
      </c>
      <c r="B173" s="459" t="s">
        <v>163</v>
      </c>
      <c r="C173" s="460">
        <v>36618</v>
      </c>
      <c r="D173" s="452"/>
      <c r="E173" s="452"/>
      <c r="F173" s="452"/>
      <c r="G173" s="452"/>
      <c r="H173" s="452"/>
      <c r="I173" s="452">
        <v>4000</v>
      </c>
      <c r="J173" s="452"/>
      <c r="K173" s="452"/>
      <c r="L173" s="452"/>
      <c r="M173" s="452"/>
      <c r="N173" s="452"/>
      <c r="O173" s="452"/>
      <c r="P173" s="452">
        <f t="shared" si="64"/>
        <v>4000</v>
      </c>
      <c r="Q173" s="452"/>
      <c r="R173" s="452"/>
      <c r="S173" s="452"/>
      <c r="T173" s="452"/>
      <c r="U173" s="452"/>
      <c r="V173" s="452"/>
      <c r="W173" s="452"/>
      <c r="X173" s="452"/>
      <c r="Y173" s="452"/>
      <c r="Z173" s="452"/>
      <c r="AA173" s="452"/>
      <c r="AB173" s="452"/>
      <c r="AC173" s="452"/>
      <c r="AD173" s="452"/>
    </row>
    <row r="174" spans="1:30">
      <c r="A174" s="461">
        <v>11</v>
      </c>
      <c r="B174" s="459" t="s">
        <v>164</v>
      </c>
      <c r="C174" s="460">
        <v>36702</v>
      </c>
      <c r="D174" s="452"/>
      <c r="E174" s="452"/>
      <c r="F174" s="452"/>
      <c r="G174" s="452"/>
      <c r="H174" s="452"/>
      <c r="I174" s="452"/>
      <c r="J174" s="452">
        <v>3250</v>
      </c>
      <c r="K174" s="452"/>
      <c r="L174" s="452"/>
      <c r="M174" s="452"/>
      <c r="N174" s="452"/>
      <c r="O174" s="452"/>
      <c r="P174" s="452">
        <f t="shared" si="64"/>
        <v>3250</v>
      </c>
      <c r="Q174" s="452"/>
      <c r="R174" s="452"/>
      <c r="S174" s="452"/>
      <c r="T174" s="452"/>
      <c r="U174" s="452"/>
      <c r="V174" s="452"/>
      <c r="W174" s="452"/>
      <c r="X174" s="452"/>
      <c r="Y174" s="452"/>
      <c r="Z174" s="452"/>
      <c r="AA174" s="452"/>
      <c r="AB174" s="452"/>
      <c r="AC174" s="452"/>
      <c r="AD174" s="452"/>
    </row>
    <row r="175" spans="1:30">
      <c r="A175" s="461">
        <v>12</v>
      </c>
      <c r="B175" s="459" t="s">
        <v>174</v>
      </c>
      <c r="C175" s="460"/>
      <c r="D175" s="452"/>
      <c r="E175" s="452"/>
      <c r="F175" s="452"/>
      <c r="G175" s="452"/>
      <c r="H175" s="452"/>
      <c r="I175" s="452"/>
      <c r="J175" s="452"/>
      <c r="K175" s="452"/>
      <c r="L175" s="452"/>
      <c r="M175" s="452"/>
      <c r="N175" s="452"/>
      <c r="O175" s="452"/>
      <c r="P175" s="452"/>
      <c r="Q175" s="452"/>
      <c r="R175" s="452"/>
      <c r="S175" s="452"/>
      <c r="T175" s="452"/>
      <c r="U175" s="452"/>
      <c r="V175" s="452"/>
      <c r="W175" s="452"/>
      <c r="X175" s="452"/>
      <c r="Y175" s="452"/>
      <c r="Z175" s="452"/>
      <c r="AA175" s="452"/>
      <c r="AB175" s="452"/>
      <c r="AC175" s="452"/>
      <c r="AD175" s="452"/>
    </row>
    <row r="176" spans="1:30">
      <c r="A176" s="461">
        <v>13</v>
      </c>
      <c r="B176" s="459" t="s">
        <v>175</v>
      </c>
      <c r="C176" s="460"/>
      <c r="D176" s="452"/>
      <c r="E176" s="452"/>
      <c r="F176" s="452"/>
      <c r="G176" s="452"/>
      <c r="H176" s="452"/>
      <c r="I176" s="452"/>
      <c r="J176" s="452"/>
      <c r="K176" s="452"/>
      <c r="L176" s="452"/>
      <c r="M176" s="452"/>
      <c r="N176" s="452"/>
      <c r="O176" s="452"/>
      <c r="P176" s="452"/>
      <c r="Q176" s="452"/>
      <c r="R176" s="452"/>
      <c r="S176" s="452"/>
      <c r="T176" s="452"/>
      <c r="U176" s="452"/>
      <c r="V176" s="452"/>
      <c r="W176" s="452"/>
      <c r="X176" s="452"/>
      <c r="Y176" s="452"/>
      <c r="Z176" s="452"/>
      <c r="AA176" s="452"/>
      <c r="AB176" s="452"/>
      <c r="AC176" s="452"/>
      <c r="AD176" s="452"/>
    </row>
    <row r="177" spans="1:30">
      <c r="A177" s="461">
        <v>14</v>
      </c>
      <c r="B177" s="459" t="s">
        <v>176</v>
      </c>
      <c r="C177" s="460"/>
      <c r="D177" s="452"/>
      <c r="E177" s="452"/>
      <c r="F177" s="452"/>
      <c r="G177" s="452"/>
      <c r="H177" s="452"/>
      <c r="I177" s="452"/>
      <c r="J177" s="452"/>
      <c r="K177" s="452"/>
      <c r="L177" s="452"/>
      <c r="M177" s="452"/>
      <c r="N177" s="452"/>
      <c r="O177" s="452"/>
      <c r="P177" s="452"/>
      <c r="Q177" s="452"/>
      <c r="R177" s="452"/>
      <c r="S177" s="452"/>
      <c r="T177" s="452"/>
      <c r="U177" s="452"/>
      <c r="V177" s="452"/>
      <c r="W177" s="452"/>
      <c r="X177" s="452"/>
      <c r="Y177" s="452"/>
      <c r="Z177" s="452"/>
      <c r="AA177" s="452"/>
      <c r="AB177" s="452"/>
      <c r="AC177" s="452"/>
      <c r="AD177" s="452"/>
    </row>
    <row r="178" spans="1:30">
      <c r="A178" s="461"/>
      <c r="B178" s="459"/>
      <c r="C178" s="460"/>
      <c r="D178" s="452"/>
      <c r="E178" s="452"/>
      <c r="F178" s="452"/>
      <c r="G178" s="452"/>
      <c r="H178" s="452"/>
      <c r="I178" s="452"/>
      <c r="J178" s="452"/>
      <c r="K178" s="452"/>
      <c r="L178" s="452"/>
      <c r="M178" s="452"/>
      <c r="N178" s="452"/>
      <c r="O178" s="452"/>
      <c r="P178" s="452"/>
      <c r="Q178" s="452"/>
      <c r="R178" s="452"/>
      <c r="S178" s="452"/>
      <c r="T178" s="452"/>
      <c r="U178" s="452"/>
      <c r="V178" s="452"/>
      <c r="W178" s="452"/>
      <c r="X178" s="452"/>
      <c r="Y178" s="452"/>
      <c r="Z178" s="452"/>
      <c r="AA178" s="452"/>
      <c r="AB178" s="452"/>
      <c r="AC178" s="452"/>
      <c r="AD178" s="452"/>
    </row>
    <row r="179" spans="1:30">
      <c r="A179" s="461"/>
      <c r="B179" s="457" t="s">
        <v>168</v>
      </c>
      <c r="C179" s="460"/>
      <c r="D179" s="452"/>
      <c r="E179" s="452"/>
      <c r="F179" s="452"/>
      <c r="G179" s="452"/>
      <c r="H179" s="452"/>
      <c r="I179" s="452"/>
      <c r="J179" s="452"/>
      <c r="K179" s="452"/>
      <c r="L179" s="452"/>
      <c r="M179" s="452"/>
      <c r="N179" s="452"/>
      <c r="O179" s="452"/>
      <c r="P179" s="452"/>
      <c r="Q179" s="452"/>
      <c r="R179" s="452"/>
      <c r="S179" s="452"/>
      <c r="T179" s="452"/>
      <c r="U179" s="452"/>
      <c r="V179" s="452"/>
      <c r="W179" s="452"/>
      <c r="X179" s="452"/>
      <c r="Y179" s="452"/>
      <c r="Z179" s="452"/>
      <c r="AA179" s="452"/>
      <c r="AB179" s="452"/>
      <c r="AC179" s="452"/>
      <c r="AD179" s="452"/>
    </row>
    <row r="180" spans="1:30">
      <c r="A180" s="461"/>
      <c r="B180" s="457"/>
      <c r="C180" s="460"/>
      <c r="D180" s="452"/>
      <c r="E180" s="452"/>
      <c r="F180" s="452"/>
      <c r="G180" s="452"/>
      <c r="H180" s="452"/>
      <c r="I180" s="452"/>
      <c r="J180" s="452"/>
      <c r="K180" s="452"/>
      <c r="L180" s="452"/>
      <c r="M180" s="452"/>
      <c r="N180" s="452"/>
      <c r="O180" s="452"/>
      <c r="P180" s="452"/>
      <c r="Q180" s="452"/>
      <c r="R180" s="452"/>
      <c r="S180" s="452"/>
      <c r="T180" s="452"/>
      <c r="U180" s="452"/>
      <c r="V180" s="452"/>
      <c r="W180" s="452"/>
      <c r="X180" s="452"/>
      <c r="Y180" s="452"/>
      <c r="Z180" s="452"/>
      <c r="AA180" s="452"/>
      <c r="AB180" s="452"/>
      <c r="AC180" s="452"/>
      <c r="AD180" s="452"/>
    </row>
    <row r="181" spans="1:30">
      <c r="A181" s="461">
        <v>19</v>
      </c>
      <c r="B181" s="459" t="s">
        <v>161</v>
      </c>
      <c r="C181" s="460">
        <v>36540</v>
      </c>
      <c r="D181" s="452"/>
      <c r="E181" s="452"/>
      <c r="F181" s="452"/>
      <c r="G181" s="452"/>
      <c r="H181" s="452"/>
      <c r="I181" s="452"/>
      <c r="J181" s="452">
        <v>8000</v>
      </c>
      <c r="K181" s="452"/>
      <c r="L181" s="452"/>
      <c r="M181" s="452"/>
      <c r="N181" s="452"/>
      <c r="O181" s="452"/>
      <c r="P181" s="452">
        <f t="shared" si="64"/>
        <v>8000</v>
      </c>
      <c r="Q181" s="452"/>
      <c r="R181" s="452"/>
      <c r="S181" s="452"/>
      <c r="T181" s="452"/>
      <c r="U181" s="452"/>
      <c r="V181" s="452"/>
      <c r="W181" s="452"/>
      <c r="X181" s="452"/>
      <c r="Y181" s="452"/>
      <c r="Z181" s="452"/>
      <c r="AA181" s="452"/>
      <c r="AB181" s="452"/>
      <c r="AC181" s="452"/>
      <c r="AD181" s="452"/>
    </row>
    <row r="182" spans="1:30">
      <c r="A182" s="461">
        <v>15</v>
      </c>
      <c r="B182" s="459" t="s">
        <v>155</v>
      </c>
      <c r="C182" s="460">
        <v>36076</v>
      </c>
      <c r="D182" s="452"/>
      <c r="E182" s="452"/>
      <c r="F182" s="452"/>
      <c r="G182" s="452"/>
      <c r="H182" s="452"/>
      <c r="I182" s="452"/>
      <c r="J182" s="452">
        <v>8500</v>
      </c>
      <c r="K182" s="452"/>
      <c r="L182" s="452"/>
      <c r="M182" s="452"/>
      <c r="N182" s="452"/>
      <c r="O182" s="452"/>
      <c r="P182" s="452">
        <f t="shared" si="64"/>
        <v>8500</v>
      </c>
      <c r="Q182" s="452"/>
      <c r="R182" s="452"/>
      <c r="S182" s="452"/>
      <c r="T182" s="452"/>
      <c r="U182" s="452"/>
      <c r="V182" s="452"/>
      <c r="W182" s="452"/>
      <c r="X182" s="452"/>
      <c r="Y182" s="452"/>
      <c r="Z182" s="452"/>
      <c r="AA182" s="452"/>
      <c r="AB182" s="452"/>
      <c r="AC182" s="452"/>
      <c r="AD182" s="452"/>
    </row>
    <row r="183" spans="1:30">
      <c r="A183" s="461">
        <v>16</v>
      </c>
      <c r="B183" s="459" t="s">
        <v>157</v>
      </c>
      <c r="C183" s="460">
        <v>36158</v>
      </c>
      <c r="D183" s="452"/>
      <c r="E183" s="452"/>
      <c r="F183" s="452"/>
      <c r="G183" s="452"/>
      <c r="H183" s="452"/>
      <c r="I183" s="452"/>
      <c r="J183" s="452"/>
      <c r="K183" s="452">
        <v>5600</v>
      </c>
      <c r="L183" s="452"/>
      <c r="M183" s="452"/>
      <c r="N183" s="452"/>
      <c r="O183" s="452"/>
      <c r="P183" s="452">
        <f t="shared" si="64"/>
        <v>5600</v>
      </c>
      <c r="Q183" s="452"/>
      <c r="R183" s="452"/>
      <c r="S183" s="452"/>
      <c r="T183" s="452"/>
      <c r="U183" s="452"/>
      <c r="V183" s="452"/>
      <c r="W183" s="452"/>
      <c r="X183" s="452"/>
      <c r="Y183" s="452"/>
      <c r="Z183" s="452"/>
      <c r="AA183" s="452"/>
      <c r="AB183" s="452"/>
      <c r="AC183" s="452"/>
      <c r="AD183" s="452"/>
    </row>
    <row r="184" spans="1:30">
      <c r="A184" s="461">
        <v>17</v>
      </c>
      <c r="B184" s="459" t="s">
        <v>159</v>
      </c>
      <c r="C184" s="460">
        <v>36417</v>
      </c>
      <c r="D184" s="452"/>
      <c r="E184" s="452"/>
      <c r="F184" s="452"/>
      <c r="G184" s="452"/>
      <c r="H184" s="452"/>
      <c r="I184" s="452"/>
      <c r="J184" s="452"/>
      <c r="K184" s="452">
        <v>5500</v>
      </c>
      <c r="L184" s="452"/>
      <c r="M184" s="452"/>
      <c r="N184" s="452"/>
      <c r="O184" s="452"/>
      <c r="P184" s="452">
        <f t="shared" si="64"/>
        <v>5500</v>
      </c>
      <c r="Q184" s="452"/>
      <c r="R184" s="452"/>
      <c r="S184" s="452"/>
      <c r="T184" s="452"/>
      <c r="U184" s="452"/>
      <c r="V184" s="452"/>
      <c r="W184" s="452"/>
      <c r="X184" s="452"/>
      <c r="Y184" s="452"/>
      <c r="Z184" s="452"/>
      <c r="AA184" s="452"/>
      <c r="AB184" s="452"/>
      <c r="AC184" s="452"/>
      <c r="AD184" s="452"/>
    </row>
    <row r="185" spans="1:30">
      <c r="A185" s="461">
        <v>18</v>
      </c>
      <c r="B185" s="459" t="s">
        <v>160</v>
      </c>
      <c r="C185" s="460">
        <v>36429</v>
      </c>
      <c r="D185" s="452"/>
      <c r="E185" s="452"/>
      <c r="F185" s="452"/>
      <c r="G185" s="452"/>
      <c r="H185" s="452"/>
      <c r="I185" s="452"/>
      <c r="J185" s="452"/>
      <c r="K185" s="452"/>
      <c r="L185" s="452"/>
      <c r="M185" s="452"/>
      <c r="N185" s="452"/>
      <c r="O185" s="452">
        <v>6500</v>
      </c>
      <c r="P185" s="452">
        <f t="shared" si="64"/>
        <v>6500</v>
      </c>
      <c r="Q185" s="452"/>
      <c r="R185" s="452"/>
      <c r="S185" s="452"/>
      <c r="T185" s="452"/>
      <c r="U185" s="452"/>
      <c r="V185" s="452"/>
      <c r="W185" s="452"/>
      <c r="X185" s="452"/>
      <c r="Y185" s="452"/>
      <c r="Z185" s="452"/>
      <c r="AA185" s="452"/>
      <c r="AB185" s="452"/>
      <c r="AC185" s="452"/>
      <c r="AD185" s="452"/>
    </row>
    <row r="186" spans="1:30">
      <c r="A186" s="461">
        <v>20</v>
      </c>
      <c r="B186" s="459" t="s">
        <v>165</v>
      </c>
      <c r="C186" s="460">
        <v>36808</v>
      </c>
      <c r="D186" s="452"/>
      <c r="E186" s="452"/>
      <c r="F186" s="452"/>
      <c r="G186" s="452"/>
      <c r="H186" s="452"/>
      <c r="I186" s="452"/>
      <c r="J186" s="452"/>
      <c r="K186" s="452"/>
      <c r="L186" s="452"/>
      <c r="M186" s="452"/>
      <c r="N186" s="452">
        <v>7000</v>
      </c>
      <c r="O186" s="452"/>
      <c r="P186" s="452">
        <f t="shared" si="64"/>
        <v>7000</v>
      </c>
      <c r="Q186" s="452"/>
      <c r="R186" s="452"/>
      <c r="S186" s="452"/>
      <c r="T186" s="452"/>
      <c r="U186" s="452"/>
      <c r="V186" s="452"/>
      <c r="W186" s="452"/>
      <c r="X186" s="452"/>
      <c r="Y186" s="452"/>
      <c r="Z186" s="452"/>
      <c r="AA186" s="452"/>
      <c r="AB186" s="452"/>
      <c r="AC186" s="452"/>
      <c r="AD186" s="452"/>
    </row>
    <row r="187" spans="1:30">
      <c r="A187" s="458">
        <v>21</v>
      </c>
      <c r="B187" s="459" t="s">
        <v>162</v>
      </c>
      <c r="C187" s="460">
        <v>36551</v>
      </c>
      <c r="D187" s="452"/>
      <c r="E187" s="452"/>
      <c r="F187" s="452"/>
      <c r="G187" s="452"/>
      <c r="H187" s="452"/>
      <c r="I187" s="452"/>
      <c r="J187" s="452"/>
      <c r="K187" s="452"/>
      <c r="L187" s="452"/>
      <c r="M187" s="452"/>
      <c r="N187" s="452"/>
      <c r="O187" s="452"/>
      <c r="P187" s="452">
        <f t="shared" si="64"/>
        <v>0</v>
      </c>
      <c r="Q187" s="452"/>
      <c r="R187" s="452"/>
      <c r="S187" s="452"/>
      <c r="T187" s="452"/>
      <c r="U187" s="452"/>
      <c r="V187" s="452"/>
      <c r="W187" s="452"/>
      <c r="X187" s="452"/>
      <c r="Y187" s="452"/>
      <c r="Z187" s="452"/>
      <c r="AA187" s="452"/>
      <c r="AB187" s="452"/>
      <c r="AC187" s="452"/>
      <c r="AD187" s="452"/>
    </row>
    <row r="188" spans="1:30">
      <c r="A188" s="461">
        <v>22</v>
      </c>
      <c r="B188" s="459" t="s">
        <v>177</v>
      </c>
      <c r="C188" s="460"/>
      <c r="D188" s="452"/>
      <c r="E188" s="452"/>
      <c r="F188" s="452"/>
      <c r="G188" s="452"/>
      <c r="H188" s="452"/>
      <c r="I188" s="452"/>
      <c r="J188" s="452"/>
      <c r="K188" s="452"/>
      <c r="L188" s="452"/>
      <c r="M188" s="452"/>
      <c r="N188" s="452"/>
      <c r="O188" s="452"/>
      <c r="P188" s="452"/>
      <c r="Q188" s="452"/>
      <c r="R188" s="452"/>
      <c r="S188" s="452"/>
      <c r="T188" s="452"/>
      <c r="U188" s="452"/>
      <c r="V188" s="452"/>
      <c r="W188" s="452"/>
      <c r="X188" s="452"/>
      <c r="Y188" s="452"/>
      <c r="Z188" s="452"/>
      <c r="AA188" s="452"/>
      <c r="AB188" s="452"/>
      <c r="AC188" s="452"/>
      <c r="AD188" s="452"/>
    </row>
    <row r="189" spans="1:30">
      <c r="A189" s="461">
        <v>23</v>
      </c>
      <c r="B189" s="459" t="s">
        <v>177</v>
      </c>
      <c r="C189" s="460"/>
      <c r="D189" s="452"/>
      <c r="E189" s="452"/>
      <c r="F189" s="452"/>
      <c r="G189" s="452"/>
      <c r="H189" s="452"/>
      <c r="I189" s="452"/>
      <c r="J189" s="452"/>
      <c r="K189" s="452"/>
      <c r="L189" s="452"/>
      <c r="M189" s="452"/>
      <c r="N189" s="452"/>
      <c r="O189" s="452"/>
      <c r="P189" s="452"/>
      <c r="Q189" s="452"/>
      <c r="R189" s="452"/>
      <c r="S189" s="452"/>
      <c r="T189" s="452"/>
      <c r="U189" s="452"/>
      <c r="V189" s="452"/>
      <c r="W189" s="452"/>
      <c r="X189" s="452"/>
      <c r="Y189" s="452"/>
      <c r="Z189" s="452"/>
      <c r="AA189" s="452"/>
      <c r="AB189" s="452"/>
      <c r="AC189" s="452"/>
      <c r="AD189" s="452"/>
    </row>
    <row r="190" spans="1:30">
      <c r="A190" s="461"/>
      <c r="B190" s="459"/>
      <c r="C190" s="459"/>
      <c r="D190" s="452"/>
      <c r="E190" s="452"/>
      <c r="F190" s="452"/>
      <c r="G190" s="452"/>
      <c r="H190" s="452"/>
      <c r="I190" s="452"/>
      <c r="J190" s="452"/>
      <c r="K190" s="452"/>
      <c r="L190" s="452"/>
      <c r="M190" s="452"/>
      <c r="N190" s="452"/>
      <c r="O190" s="452"/>
      <c r="P190" s="452"/>
      <c r="Q190" s="452"/>
      <c r="R190" s="452"/>
      <c r="S190" s="452"/>
      <c r="T190" s="452"/>
      <c r="U190" s="452"/>
      <c r="V190" s="452"/>
      <c r="W190" s="452"/>
      <c r="X190" s="452"/>
      <c r="Y190" s="452"/>
      <c r="Z190" s="452"/>
      <c r="AA190" s="452"/>
      <c r="AB190" s="452"/>
      <c r="AC190" s="452"/>
      <c r="AD190" s="452"/>
    </row>
    <row r="191" spans="1:30" ht="13.5" thickBot="1">
      <c r="A191" s="462"/>
      <c r="B191" s="463"/>
      <c r="C191" s="463"/>
      <c r="D191" s="464">
        <f>SUM(D161:D190)</f>
        <v>0</v>
      </c>
      <c r="E191" s="465">
        <f t="shared" ref="E191:P191" si="65">SUM(E161:E190)</f>
        <v>0</v>
      </c>
      <c r="F191" s="465">
        <f t="shared" si="65"/>
        <v>0</v>
      </c>
      <c r="G191" s="465">
        <f t="shared" si="65"/>
        <v>0</v>
      </c>
      <c r="H191" s="465">
        <f t="shared" si="65"/>
        <v>0</v>
      </c>
      <c r="I191" s="465">
        <f t="shared" si="65"/>
        <v>4000</v>
      </c>
      <c r="J191" s="465">
        <f t="shared" si="65"/>
        <v>32150</v>
      </c>
      <c r="K191" s="465">
        <f t="shared" si="65"/>
        <v>11100</v>
      </c>
      <c r="L191" s="465">
        <f t="shared" si="65"/>
        <v>0</v>
      </c>
      <c r="M191" s="465">
        <f t="shared" si="65"/>
        <v>0</v>
      </c>
      <c r="N191" s="465">
        <f t="shared" si="65"/>
        <v>18000</v>
      </c>
      <c r="O191" s="465">
        <f t="shared" si="65"/>
        <v>13750</v>
      </c>
      <c r="P191" s="465">
        <f t="shared" si="65"/>
        <v>79000</v>
      </c>
      <c r="Q191" s="452"/>
      <c r="R191" s="452"/>
      <c r="S191" s="452"/>
      <c r="T191" s="452"/>
      <c r="U191" s="452"/>
      <c r="V191" s="452"/>
      <c r="W191" s="452"/>
      <c r="X191" s="452"/>
      <c r="Y191" s="452"/>
      <c r="Z191" s="452"/>
      <c r="AA191" s="452"/>
      <c r="AB191" s="452"/>
      <c r="AC191" s="452"/>
      <c r="AD191" s="452"/>
    </row>
    <row r="192" spans="1:30" ht="13.5" thickTop="1">
      <c r="A192" s="452"/>
      <c r="B192" s="466"/>
      <c r="C192" s="467"/>
      <c r="D192" s="452"/>
      <c r="E192" s="452"/>
      <c r="F192" s="452"/>
      <c r="G192" s="452"/>
      <c r="H192" s="452"/>
      <c r="I192" s="452"/>
      <c r="J192" s="452"/>
      <c r="K192" s="452"/>
      <c r="L192" s="452"/>
      <c r="M192" s="452"/>
      <c r="N192" s="452"/>
      <c r="O192" s="452"/>
      <c r="P192" s="452"/>
      <c r="Q192" s="452"/>
      <c r="R192" s="452"/>
      <c r="S192" s="452"/>
      <c r="T192" s="452"/>
      <c r="U192" s="452"/>
      <c r="V192" s="452"/>
      <c r="W192" s="452"/>
      <c r="X192" s="452"/>
      <c r="Y192" s="452"/>
      <c r="Z192" s="452"/>
      <c r="AA192" s="452"/>
      <c r="AB192" s="452"/>
      <c r="AC192" s="452"/>
      <c r="AD192" s="452"/>
    </row>
    <row r="193" spans="1:30">
      <c r="A193" s="452"/>
      <c r="B193" s="466"/>
      <c r="C193" s="467"/>
      <c r="D193" s="452"/>
      <c r="E193" s="452"/>
      <c r="F193" s="452"/>
      <c r="G193" s="452"/>
      <c r="H193" s="452"/>
      <c r="I193" s="452"/>
      <c r="J193" s="452"/>
      <c r="K193" s="452"/>
      <c r="L193" s="452"/>
      <c r="M193" s="452"/>
      <c r="N193" s="452"/>
      <c r="O193" s="452"/>
      <c r="P193" s="452"/>
      <c r="Q193" s="452"/>
      <c r="R193" s="452"/>
      <c r="S193" s="452"/>
      <c r="T193" s="452"/>
      <c r="U193" s="452"/>
      <c r="V193" s="452"/>
      <c r="W193" s="452"/>
      <c r="X193" s="452"/>
      <c r="Y193" s="452"/>
      <c r="Z193" s="452"/>
      <c r="AA193" s="452"/>
      <c r="AB193" s="452"/>
      <c r="AC193" s="452"/>
      <c r="AD193" s="452"/>
    </row>
    <row r="194" spans="1:30">
      <c r="A194" s="449" t="s">
        <v>145</v>
      </c>
      <c r="B194" s="450" t="s">
        <v>146</v>
      </c>
      <c r="C194" s="451" t="s">
        <v>147</v>
      </c>
      <c r="D194" s="452"/>
      <c r="E194" s="452"/>
      <c r="F194" s="452"/>
      <c r="G194" s="452"/>
      <c r="H194" s="452"/>
      <c r="I194" s="452"/>
      <c r="J194" s="452"/>
      <c r="K194" s="452"/>
      <c r="L194" s="452"/>
      <c r="M194" s="452"/>
      <c r="N194" s="452"/>
      <c r="O194" s="452"/>
      <c r="P194" s="452"/>
      <c r="Q194" s="452"/>
      <c r="R194" s="452"/>
      <c r="S194" s="452"/>
      <c r="T194" s="452"/>
      <c r="U194" s="452"/>
      <c r="V194" s="452"/>
      <c r="W194" s="452"/>
      <c r="X194" s="452"/>
      <c r="Y194" s="452"/>
      <c r="Z194" s="452"/>
      <c r="AA194" s="452"/>
      <c r="AB194" s="452"/>
      <c r="AC194" s="452"/>
      <c r="AD194" s="452"/>
    </row>
    <row r="195" spans="1:30">
      <c r="A195" s="453"/>
      <c r="B195" s="454"/>
      <c r="C195" s="455" t="s">
        <v>149</v>
      </c>
      <c r="D195" s="452"/>
      <c r="E195" s="452"/>
      <c r="F195" s="452"/>
      <c r="G195" s="452"/>
      <c r="H195" s="452"/>
      <c r="I195" s="452"/>
      <c r="J195" s="452"/>
      <c r="K195" s="452"/>
      <c r="L195" s="452"/>
      <c r="M195" s="452"/>
      <c r="N195" s="452"/>
      <c r="O195" s="452"/>
      <c r="P195" s="452"/>
      <c r="Q195" s="452"/>
      <c r="R195" s="452"/>
      <c r="S195" s="452"/>
      <c r="T195" s="452"/>
      <c r="U195" s="452"/>
      <c r="V195" s="452"/>
      <c r="W195" s="452"/>
      <c r="X195" s="452"/>
      <c r="Y195" s="452"/>
      <c r="Z195" s="452"/>
      <c r="AA195" s="452"/>
      <c r="AB195" s="452"/>
      <c r="AC195" s="452"/>
      <c r="AD195" s="452"/>
    </row>
    <row r="196" spans="1:30">
      <c r="A196" s="456"/>
      <c r="B196" s="457" t="s">
        <v>167</v>
      </c>
      <c r="C196" s="457"/>
      <c r="D196" s="452"/>
      <c r="E196" s="452"/>
      <c r="F196" s="452"/>
      <c r="G196" s="452"/>
      <c r="H196" s="452"/>
      <c r="I196" s="452"/>
      <c r="J196" s="452"/>
      <c r="K196" s="452"/>
      <c r="L196" s="452"/>
      <c r="M196" s="452"/>
      <c r="N196" s="452"/>
      <c r="O196" s="452"/>
      <c r="P196" s="452"/>
      <c r="Q196" s="452"/>
      <c r="R196" s="452"/>
      <c r="S196" s="452"/>
      <c r="T196" s="452"/>
      <c r="U196" s="452"/>
      <c r="V196" s="452"/>
      <c r="W196" s="452"/>
      <c r="X196" s="452"/>
      <c r="Y196" s="452"/>
      <c r="Z196" s="452"/>
      <c r="AA196" s="452"/>
      <c r="AB196" s="452"/>
      <c r="AC196" s="452"/>
      <c r="AD196" s="452"/>
    </row>
    <row r="197" spans="1:30">
      <c r="A197" s="456"/>
      <c r="B197" s="457"/>
      <c r="C197" s="457"/>
      <c r="D197" s="452"/>
      <c r="E197" s="452"/>
      <c r="F197" s="452"/>
      <c r="G197" s="452"/>
      <c r="H197" s="452"/>
      <c r="I197" s="452"/>
      <c r="J197" s="452"/>
      <c r="K197" s="452"/>
      <c r="L197" s="452"/>
      <c r="M197" s="452"/>
      <c r="N197" s="452"/>
      <c r="O197" s="452"/>
      <c r="P197" s="452"/>
      <c r="Q197" s="452"/>
      <c r="R197" s="452"/>
      <c r="S197" s="452"/>
      <c r="T197" s="452"/>
      <c r="U197" s="452"/>
      <c r="V197" s="452"/>
      <c r="W197" s="452"/>
      <c r="X197" s="452"/>
      <c r="Y197" s="452"/>
      <c r="Z197" s="452"/>
      <c r="AA197" s="452"/>
      <c r="AB197" s="452"/>
      <c r="AC197" s="452"/>
      <c r="AD197" s="452"/>
    </row>
    <row r="198" spans="1:30">
      <c r="A198" s="458">
        <v>1</v>
      </c>
      <c r="B198" s="459" t="s">
        <v>169</v>
      </c>
      <c r="C198" s="460">
        <v>35886</v>
      </c>
      <c r="D198" s="452"/>
      <c r="E198" s="452"/>
      <c r="F198" s="452"/>
      <c r="G198" s="452"/>
      <c r="H198" s="452"/>
      <c r="I198" s="452"/>
      <c r="J198" s="452"/>
      <c r="K198" s="452"/>
      <c r="L198" s="452"/>
      <c r="M198" s="452"/>
      <c r="N198" s="452"/>
      <c r="O198" s="452"/>
      <c r="P198" s="452">
        <f>SUM(D198:O198)</f>
        <v>0</v>
      </c>
      <c r="Q198" s="452"/>
      <c r="R198" s="452"/>
      <c r="S198" s="452"/>
      <c r="T198" s="452"/>
      <c r="U198" s="452"/>
      <c r="V198" s="452"/>
      <c r="W198" s="452"/>
      <c r="X198" s="452"/>
      <c r="Y198" s="452"/>
      <c r="Z198" s="452"/>
      <c r="AA198" s="452"/>
      <c r="AB198" s="452"/>
      <c r="AC198" s="452"/>
      <c r="AD198" s="452"/>
    </row>
    <row r="199" spans="1:30">
      <c r="A199" s="458">
        <v>2</v>
      </c>
      <c r="B199" s="459" t="s">
        <v>154</v>
      </c>
      <c r="C199" s="460">
        <v>36006</v>
      </c>
      <c r="D199" s="452"/>
      <c r="E199" s="452"/>
      <c r="F199" s="452"/>
      <c r="G199" s="452"/>
      <c r="H199" s="452"/>
      <c r="I199" s="452"/>
      <c r="J199" s="452"/>
      <c r="K199" s="452"/>
      <c r="L199" s="452"/>
      <c r="M199" s="452"/>
      <c r="N199" s="452"/>
      <c r="O199" s="452"/>
      <c r="P199" s="452">
        <f t="shared" ref="P199:P226" si="66">SUM(D199:O199)</f>
        <v>0</v>
      </c>
      <c r="Q199" s="452"/>
      <c r="R199" s="452"/>
      <c r="S199" s="452"/>
      <c r="T199" s="452"/>
      <c r="U199" s="452"/>
      <c r="V199" s="452"/>
      <c r="W199" s="452"/>
      <c r="X199" s="452"/>
      <c r="Y199" s="452"/>
      <c r="Z199" s="452"/>
      <c r="AA199" s="452"/>
      <c r="AB199" s="452"/>
      <c r="AC199" s="452"/>
      <c r="AD199" s="452"/>
    </row>
    <row r="200" spans="1:30">
      <c r="A200" s="458">
        <v>4</v>
      </c>
      <c r="B200" s="459" t="s">
        <v>573</v>
      </c>
      <c r="C200" s="460">
        <v>37101</v>
      </c>
      <c r="D200" s="452"/>
      <c r="E200" s="452"/>
      <c r="F200" s="452"/>
      <c r="G200" s="452"/>
      <c r="H200" s="452"/>
      <c r="I200" s="452"/>
      <c r="J200" s="452"/>
      <c r="K200" s="452"/>
      <c r="L200" s="452"/>
      <c r="M200" s="452"/>
      <c r="N200" s="452"/>
      <c r="O200" s="452"/>
      <c r="P200" s="452">
        <f t="shared" si="66"/>
        <v>0</v>
      </c>
      <c r="Q200" s="452"/>
      <c r="R200" s="452"/>
      <c r="S200" s="452"/>
      <c r="T200" s="452"/>
      <c r="U200" s="452"/>
      <c r="V200" s="452"/>
      <c r="W200" s="452"/>
      <c r="X200" s="452"/>
      <c r="Y200" s="452"/>
      <c r="Z200" s="452"/>
      <c r="AA200" s="452"/>
      <c r="AB200" s="452"/>
      <c r="AC200" s="452"/>
      <c r="AD200" s="452"/>
    </row>
    <row r="201" spans="1:30">
      <c r="A201" s="458">
        <v>5</v>
      </c>
      <c r="B201" s="459" t="s">
        <v>171</v>
      </c>
      <c r="C201" s="460"/>
      <c r="D201" s="452"/>
      <c r="E201" s="452"/>
      <c r="F201" s="452"/>
      <c r="G201" s="452"/>
      <c r="H201" s="452"/>
      <c r="I201" s="452"/>
      <c r="J201" s="452"/>
      <c r="K201" s="452"/>
      <c r="L201" s="452"/>
      <c r="M201" s="452"/>
      <c r="N201" s="452"/>
      <c r="O201" s="452"/>
      <c r="P201" s="452">
        <f t="shared" si="66"/>
        <v>0</v>
      </c>
      <c r="Q201" s="452"/>
      <c r="R201" s="452"/>
      <c r="S201" s="452"/>
      <c r="T201" s="452"/>
      <c r="U201" s="452"/>
      <c r="V201" s="452"/>
      <c r="W201" s="452"/>
      <c r="X201" s="452"/>
      <c r="Y201" s="452"/>
      <c r="Z201" s="452"/>
      <c r="AA201" s="452"/>
      <c r="AB201" s="452"/>
      <c r="AC201" s="452"/>
      <c r="AD201" s="452"/>
    </row>
    <row r="202" spans="1:30">
      <c r="A202" s="458">
        <v>6</v>
      </c>
      <c r="B202" s="459" t="s">
        <v>172</v>
      </c>
      <c r="C202" s="460"/>
      <c r="D202" s="452"/>
      <c r="E202" s="452"/>
      <c r="F202" s="452"/>
      <c r="G202" s="452"/>
      <c r="H202" s="452"/>
      <c r="I202" s="452"/>
      <c r="J202" s="452"/>
      <c r="K202" s="452"/>
      <c r="L202" s="452"/>
      <c r="M202" s="452"/>
      <c r="N202" s="452"/>
      <c r="O202" s="452"/>
      <c r="P202" s="452">
        <f t="shared" si="66"/>
        <v>0</v>
      </c>
      <c r="Q202" s="452"/>
      <c r="R202" s="452"/>
      <c r="S202" s="452"/>
      <c r="T202" s="452"/>
      <c r="U202" s="452"/>
      <c r="V202" s="452"/>
      <c r="W202" s="452"/>
      <c r="X202" s="452"/>
      <c r="Y202" s="452"/>
      <c r="Z202" s="452"/>
      <c r="AA202" s="452"/>
      <c r="AB202" s="452"/>
      <c r="AC202" s="452"/>
      <c r="AD202" s="452"/>
    </row>
    <row r="203" spans="1:30">
      <c r="A203" s="461"/>
      <c r="B203" s="459"/>
      <c r="C203" s="460"/>
      <c r="D203" s="452"/>
      <c r="E203" s="452"/>
      <c r="F203" s="452"/>
      <c r="G203" s="452"/>
      <c r="H203" s="452"/>
      <c r="I203" s="452"/>
      <c r="J203" s="452"/>
      <c r="K203" s="452"/>
      <c r="L203" s="452"/>
      <c r="M203" s="452"/>
      <c r="N203" s="452"/>
      <c r="O203" s="452"/>
      <c r="P203" s="452">
        <f t="shared" si="66"/>
        <v>0</v>
      </c>
      <c r="Q203" s="452"/>
      <c r="R203" s="452"/>
      <c r="S203" s="452"/>
      <c r="T203" s="452"/>
      <c r="U203" s="452"/>
      <c r="V203" s="452"/>
      <c r="W203" s="452"/>
      <c r="X203" s="452"/>
      <c r="Y203" s="452"/>
      <c r="Z203" s="452"/>
      <c r="AA203" s="452"/>
      <c r="AB203" s="452"/>
      <c r="AC203" s="452"/>
      <c r="AD203" s="452"/>
    </row>
    <row r="204" spans="1:30">
      <c r="A204" s="461"/>
      <c r="B204" s="459"/>
      <c r="C204" s="460"/>
      <c r="D204" s="452"/>
      <c r="E204" s="452"/>
      <c r="F204" s="452"/>
      <c r="G204" s="452"/>
      <c r="H204" s="452"/>
      <c r="I204" s="452"/>
      <c r="J204" s="452"/>
      <c r="K204" s="452"/>
      <c r="L204" s="452"/>
      <c r="M204" s="452"/>
      <c r="N204" s="452"/>
      <c r="O204" s="452"/>
      <c r="P204" s="452">
        <f t="shared" si="66"/>
        <v>0</v>
      </c>
      <c r="Q204" s="452"/>
      <c r="R204" s="452"/>
      <c r="S204" s="452"/>
      <c r="T204" s="452"/>
      <c r="U204" s="452"/>
      <c r="V204" s="452"/>
      <c r="W204" s="452"/>
      <c r="X204" s="452"/>
      <c r="Y204" s="452"/>
      <c r="Z204" s="452"/>
      <c r="AA204" s="452"/>
      <c r="AB204" s="452"/>
      <c r="AC204" s="452"/>
      <c r="AD204" s="452"/>
    </row>
    <row r="205" spans="1:30">
      <c r="A205" s="461"/>
      <c r="B205" s="457" t="s">
        <v>166</v>
      </c>
      <c r="C205" s="460"/>
      <c r="D205" s="452"/>
      <c r="E205" s="452"/>
      <c r="F205" s="452"/>
      <c r="G205" s="452"/>
      <c r="H205" s="452"/>
      <c r="I205" s="452"/>
      <c r="J205" s="452"/>
      <c r="K205" s="452"/>
      <c r="L205" s="452"/>
      <c r="M205" s="452"/>
      <c r="N205" s="452"/>
      <c r="O205" s="452"/>
      <c r="P205" s="452">
        <f t="shared" si="66"/>
        <v>0</v>
      </c>
      <c r="Q205" s="452"/>
      <c r="R205" s="452"/>
      <c r="S205" s="452"/>
      <c r="T205" s="452"/>
      <c r="U205" s="452"/>
      <c r="V205" s="452"/>
      <c r="W205" s="452"/>
      <c r="X205" s="452"/>
      <c r="Y205" s="452"/>
      <c r="Z205" s="452"/>
      <c r="AA205" s="452"/>
      <c r="AB205" s="452"/>
      <c r="AC205" s="452"/>
      <c r="AD205" s="452"/>
    </row>
    <row r="206" spans="1:30">
      <c r="A206" s="461"/>
      <c r="B206" s="457"/>
      <c r="C206" s="460"/>
      <c r="D206" s="452"/>
      <c r="E206" s="452"/>
      <c r="F206" s="452"/>
      <c r="G206" s="452"/>
      <c r="H206" s="452"/>
      <c r="I206" s="452"/>
      <c r="J206" s="452"/>
      <c r="K206" s="452"/>
      <c r="L206" s="452"/>
      <c r="M206" s="452"/>
      <c r="N206" s="452"/>
      <c r="O206" s="452"/>
      <c r="P206" s="452">
        <f t="shared" si="66"/>
        <v>0</v>
      </c>
      <c r="Q206" s="452"/>
      <c r="R206" s="452"/>
      <c r="S206" s="452"/>
      <c r="T206" s="452"/>
      <c r="U206" s="452"/>
      <c r="V206" s="452"/>
      <c r="W206" s="452"/>
      <c r="X206" s="452"/>
      <c r="Y206" s="452"/>
      <c r="Z206" s="452"/>
      <c r="AA206" s="452"/>
      <c r="AB206" s="452"/>
      <c r="AC206" s="452"/>
      <c r="AD206" s="452"/>
    </row>
    <row r="207" spans="1:30">
      <c r="A207" s="461">
        <v>7</v>
      </c>
      <c r="B207" s="459" t="s">
        <v>156</v>
      </c>
      <c r="C207" s="460">
        <v>36093</v>
      </c>
      <c r="D207" s="452"/>
      <c r="E207" s="452"/>
      <c r="F207" s="452"/>
      <c r="G207" s="452"/>
      <c r="H207" s="452"/>
      <c r="I207" s="452"/>
      <c r="J207" s="452"/>
      <c r="K207" s="452"/>
      <c r="L207" s="452"/>
      <c r="M207" s="452"/>
      <c r="N207" s="452"/>
      <c r="O207" s="452"/>
      <c r="P207" s="452">
        <f t="shared" si="66"/>
        <v>0</v>
      </c>
      <c r="Q207" s="452"/>
      <c r="R207" s="452"/>
      <c r="S207" s="452"/>
      <c r="T207" s="452"/>
      <c r="U207" s="452"/>
      <c r="V207" s="452"/>
      <c r="W207" s="452"/>
      <c r="X207" s="452"/>
      <c r="Y207" s="452"/>
      <c r="Z207" s="452"/>
      <c r="AA207" s="452"/>
      <c r="AB207" s="452"/>
      <c r="AC207" s="452"/>
      <c r="AD207" s="452"/>
    </row>
    <row r="208" spans="1:30">
      <c r="A208" s="461">
        <v>8</v>
      </c>
      <c r="B208" s="459" t="s">
        <v>575</v>
      </c>
      <c r="C208" s="460">
        <v>37143</v>
      </c>
      <c r="D208" s="452"/>
      <c r="E208" s="452"/>
      <c r="F208" s="452"/>
      <c r="G208" s="452"/>
      <c r="H208" s="452"/>
      <c r="I208" s="452"/>
      <c r="J208" s="452"/>
      <c r="K208" s="452"/>
      <c r="L208" s="452"/>
      <c r="M208" s="452"/>
      <c r="N208" s="452"/>
      <c r="O208" s="452"/>
      <c r="P208" s="452">
        <f t="shared" si="66"/>
        <v>0</v>
      </c>
      <c r="Q208" s="452"/>
      <c r="R208" s="452"/>
      <c r="S208" s="452"/>
      <c r="T208" s="452"/>
      <c r="U208" s="452"/>
      <c r="V208" s="452"/>
      <c r="W208" s="452"/>
      <c r="X208" s="452"/>
      <c r="Y208" s="452"/>
      <c r="Z208" s="452"/>
      <c r="AA208" s="452"/>
      <c r="AB208" s="452"/>
      <c r="AC208" s="452"/>
      <c r="AD208" s="452"/>
    </row>
    <row r="209" spans="1:30">
      <c r="A209" s="461">
        <v>9</v>
      </c>
      <c r="B209" s="459" t="s">
        <v>158</v>
      </c>
      <c r="C209" s="460">
        <v>36390</v>
      </c>
      <c r="D209" s="452"/>
      <c r="E209" s="452"/>
      <c r="F209" s="452"/>
      <c r="G209" s="452"/>
      <c r="H209" s="452"/>
      <c r="I209" s="452"/>
      <c r="J209" s="452"/>
      <c r="K209" s="452"/>
      <c r="L209" s="452"/>
      <c r="M209" s="452"/>
      <c r="N209" s="452"/>
      <c r="O209" s="452">
        <v>2500</v>
      </c>
      <c r="P209" s="452">
        <f t="shared" si="66"/>
        <v>2500</v>
      </c>
      <c r="Q209" s="452"/>
      <c r="R209" s="452"/>
      <c r="S209" s="452"/>
      <c r="T209" s="452"/>
      <c r="U209" s="452"/>
      <c r="V209" s="452"/>
      <c r="W209" s="452"/>
      <c r="X209" s="452"/>
      <c r="Y209" s="452"/>
      <c r="Z209" s="452"/>
      <c r="AA209" s="452"/>
      <c r="AB209" s="452"/>
      <c r="AC209" s="452"/>
      <c r="AD209" s="452"/>
    </row>
    <row r="210" spans="1:30">
      <c r="A210" s="461">
        <v>10</v>
      </c>
      <c r="B210" s="459" t="s">
        <v>163</v>
      </c>
      <c r="C210" s="460">
        <v>36618</v>
      </c>
      <c r="D210" s="452"/>
      <c r="E210" s="452"/>
      <c r="F210" s="452"/>
      <c r="G210" s="452"/>
      <c r="H210" s="452"/>
      <c r="I210" s="452"/>
      <c r="J210" s="452"/>
      <c r="K210" s="452"/>
      <c r="L210" s="452"/>
      <c r="M210" s="452"/>
      <c r="N210" s="452"/>
      <c r="O210" s="452"/>
      <c r="P210" s="452">
        <f t="shared" si="66"/>
        <v>0</v>
      </c>
      <c r="Q210" s="452"/>
      <c r="R210" s="452"/>
      <c r="S210" s="452"/>
      <c r="T210" s="452"/>
      <c r="U210" s="452"/>
      <c r="V210" s="452"/>
      <c r="W210" s="452"/>
      <c r="X210" s="452"/>
      <c r="Y210" s="452"/>
      <c r="Z210" s="452"/>
      <c r="AA210" s="452"/>
      <c r="AB210" s="452"/>
      <c r="AC210" s="452"/>
      <c r="AD210" s="452"/>
    </row>
    <row r="211" spans="1:30">
      <c r="A211" s="461">
        <v>11</v>
      </c>
      <c r="B211" s="459" t="s">
        <v>164</v>
      </c>
      <c r="C211" s="460">
        <v>36702</v>
      </c>
      <c r="D211" s="452"/>
      <c r="E211" s="452"/>
      <c r="F211" s="452"/>
      <c r="G211" s="452"/>
      <c r="H211" s="452"/>
      <c r="I211" s="452"/>
      <c r="J211" s="452"/>
      <c r="K211" s="452"/>
      <c r="L211" s="452"/>
      <c r="M211" s="452"/>
      <c r="N211" s="452"/>
      <c r="O211" s="452"/>
      <c r="P211" s="452">
        <f t="shared" si="66"/>
        <v>0</v>
      </c>
      <c r="Q211" s="452"/>
      <c r="R211" s="452"/>
      <c r="S211" s="452"/>
      <c r="T211" s="452"/>
      <c r="U211" s="452"/>
      <c r="V211" s="452"/>
      <c r="W211" s="452"/>
      <c r="X211" s="452"/>
      <c r="Y211" s="452"/>
      <c r="Z211" s="452"/>
      <c r="AA211" s="452"/>
      <c r="AB211" s="452"/>
      <c r="AC211" s="452"/>
      <c r="AD211" s="452"/>
    </row>
    <row r="212" spans="1:30">
      <c r="A212" s="461">
        <v>12</v>
      </c>
      <c r="B212" s="459" t="s">
        <v>174</v>
      </c>
      <c r="C212" s="460"/>
      <c r="D212" s="452"/>
      <c r="E212" s="452"/>
      <c r="F212" s="452"/>
      <c r="G212" s="452"/>
      <c r="H212" s="452"/>
      <c r="I212" s="452"/>
      <c r="J212" s="452"/>
      <c r="K212" s="452"/>
      <c r="L212" s="452"/>
      <c r="M212" s="452"/>
      <c r="N212" s="452"/>
      <c r="O212" s="452"/>
      <c r="P212" s="452">
        <f t="shared" si="66"/>
        <v>0</v>
      </c>
      <c r="Q212" s="452"/>
      <c r="R212" s="452"/>
      <c r="S212" s="452"/>
      <c r="T212" s="452"/>
      <c r="U212" s="452"/>
      <c r="V212" s="452"/>
      <c r="W212" s="452"/>
      <c r="X212" s="452"/>
      <c r="Y212" s="452"/>
      <c r="Z212" s="452"/>
      <c r="AA212" s="452"/>
      <c r="AB212" s="452"/>
      <c r="AC212" s="452"/>
      <c r="AD212" s="452"/>
    </row>
    <row r="213" spans="1:30">
      <c r="A213" s="461">
        <v>13</v>
      </c>
      <c r="B213" s="459" t="s">
        <v>175</v>
      </c>
      <c r="C213" s="460"/>
      <c r="D213" s="452"/>
      <c r="E213" s="452"/>
      <c r="F213" s="452"/>
      <c r="G213" s="452"/>
      <c r="H213" s="452"/>
      <c r="I213" s="452"/>
      <c r="J213" s="452"/>
      <c r="K213" s="452"/>
      <c r="L213" s="452"/>
      <c r="M213" s="452"/>
      <c r="N213" s="452"/>
      <c r="O213" s="452"/>
      <c r="P213" s="452">
        <f t="shared" si="66"/>
        <v>0</v>
      </c>
      <c r="Q213" s="452"/>
      <c r="R213" s="452"/>
      <c r="S213" s="452"/>
      <c r="T213" s="452"/>
      <c r="U213" s="452"/>
      <c r="V213" s="452"/>
      <c r="W213" s="452"/>
      <c r="X213" s="452"/>
      <c r="Y213" s="452"/>
      <c r="Z213" s="452"/>
      <c r="AA213" s="452"/>
      <c r="AB213" s="452"/>
      <c r="AC213" s="452"/>
      <c r="AD213" s="452"/>
    </row>
    <row r="214" spans="1:30">
      <c r="A214" s="461">
        <v>14</v>
      </c>
      <c r="B214" s="459" t="s">
        <v>176</v>
      </c>
      <c r="C214" s="460"/>
      <c r="D214" s="452"/>
      <c r="E214" s="452"/>
      <c r="F214" s="452"/>
      <c r="G214" s="452"/>
      <c r="H214" s="452"/>
      <c r="I214" s="452"/>
      <c r="J214" s="452"/>
      <c r="K214" s="452"/>
      <c r="L214" s="452"/>
      <c r="M214" s="452"/>
      <c r="N214" s="452"/>
      <c r="O214" s="452"/>
      <c r="P214" s="452">
        <f t="shared" si="66"/>
        <v>0</v>
      </c>
      <c r="Q214" s="452"/>
      <c r="R214" s="452"/>
      <c r="S214" s="452"/>
      <c r="T214" s="452"/>
      <c r="U214" s="452"/>
      <c r="V214" s="452"/>
      <c r="W214" s="452"/>
      <c r="X214" s="452"/>
      <c r="Y214" s="452"/>
      <c r="Z214" s="452"/>
      <c r="AA214" s="452"/>
      <c r="AB214" s="452"/>
      <c r="AC214" s="452"/>
      <c r="AD214" s="452"/>
    </row>
    <row r="215" spans="1:30">
      <c r="A215" s="461"/>
      <c r="B215" s="459"/>
      <c r="C215" s="460"/>
      <c r="D215" s="452"/>
      <c r="E215" s="452"/>
      <c r="F215" s="452"/>
      <c r="G215" s="452"/>
      <c r="H215" s="452"/>
      <c r="I215" s="452"/>
      <c r="J215" s="452"/>
      <c r="K215" s="452"/>
      <c r="L215" s="452"/>
      <c r="M215" s="452"/>
      <c r="N215" s="452"/>
      <c r="O215" s="452"/>
      <c r="P215" s="452">
        <f t="shared" si="66"/>
        <v>0</v>
      </c>
      <c r="Q215" s="452"/>
      <c r="R215" s="452"/>
      <c r="S215" s="452"/>
      <c r="T215" s="452"/>
      <c r="U215" s="452"/>
      <c r="V215" s="452"/>
      <c r="W215" s="452"/>
      <c r="X215" s="452"/>
      <c r="Y215" s="452"/>
      <c r="Z215" s="452"/>
      <c r="AA215" s="452"/>
      <c r="AB215" s="452"/>
      <c r="AC215" s="452"/>
      <c r="AD215" s="452"/>
    </row>
    <row r="216" spans="1:30">
      <c r="A216" s="461"/>
      <c r="B216" s="457" t="s">
        <v>168</v>
      </c>
      <c r="C216" s="460"/>
      <c r="D216" s="452"/>
      <c r="E216" s="452"/>
      <c r="F216" s="452"/>
      <c r="G216" s="452"/>
      <c r="H216" s="452"/>
      <c r="I216" s="452"/>
      <c r="J216" s="452"/>
      <c r="K216" s="452"/>
      <c r="L216" s="452"/>
      <c r="M216" s="452"/>
      <c r="N216" s="452"/>
      <c r="O216" s="452"/>
      <c r="P216" s="452">
        <f t="shared" si="66"/>
        <v>0</v>
      </c>
      <c r="Q216" s="452"/>
      <c r="R216" s="452"/>
      <c r="S216" s="452"/>
      <c r="T216" s="452"/>
      <c r="U216" s="452"/>
      <c r="V216" s="452"/>
      <c r="W216" s="452"/>
      <c r="X216" s="452"/>
      <c r="Y216" s="452"/>
      <c r="Z216" s="452"/>
      <c r="AA216" s="452"/>
      <c r="AB216" s="452"/>
      <c r="AC216" s="452"/>
      <c r="AD216" s="452"/>
    </row>
    <row r="217" spans="1:30">
      <c r="A217" s="461"/>
      <c r="B217" s="457"/>
      <c r="C217" s="460"/>
      <c r="D217" s="452"/>
      <c r="E217" s="452"/>
      <c r="F217" s="452"/>
      <c r="G217" s="452"/>
      <c r="H217" s="452"/>
      <c r="I217" s="452"/>
      <c r="J217" s="452"/>
      <c r="K217" s="452"/>
      <c r="L217" s="452"/>
      <c r="M217" s="452"/>
      <c r="N217" s="452"/>
      <c r="O217" s="452"/>
      <c r="P217" s="452">
        <f t="shared" si="66"/>
        <v>0</v>
      </c>
      <c r="Q217" s="452"/>
      <c r="R217" s="452"/>
      <c r="S217" s="452"/>
      <c r="T217" s="452"/>
      <c r="U217" s="452"/>
      <c r="V217" s="452"/>
      <c r="W217" s="452"/>
      <c r="X217" s="452"/>
      <c r="Y217" s="452"/>
      <c r="Z217" s="452"/>
      <c r="AA217" s="452"/>
      <c r="AB217" s="452"/>
      <c r="AC217" s="452"/>
      <c r="AD217" s="452"/>
    </row>
    <row r="218" spans="1:30">
      <c r="A218" s="461">
        <v>19</v>
      </c>
      <c r="B218" s="459" t="s">
        <v>161</v>
      </c>
      <c r="C218" s="460">
        <v>36540</v>
      </c>
      <c r="D218" s="452"/>
      <c r="E218" s="452"/>
      <c r="F218" s="452"/>
      <c r="G218" s="452"/>
      <c r="H218" s="452"/>
      <c r="I218" s="452"/>
      <c r="J218" s="452"/>
      <c r="K218" s="452"/>
      <c r="L218" s="452"/>
      <c r="M218" s="452"/>
      <c r="N218" s="452"/>
      <c r="O218" s="452"/>
      <c r="P218" s="452">
        <f t="shared" si="66"/>
        <v>0</v>
      </c>
      <c r="Q218" s="452"/>
      <c r="R218" s="452"/>
      <c r="S218" s="452"/>
      <c r="T218" s="452"/>
      <c r="U218" s="452"/>
      <c r="V218" s="452"/>
      <c r="W218" s="452"/>
      <c r="X218" s="452"/>
      <c r="Y218" s="452"/>
      <c r="Z218" s="452"/>
      <c r="AA218" s="452"/>
      <c r="AB218" s="452"/>
      <c r="AC218" s="452"/>
      <c r="AD218" s="452"/>
    </row>
    <row r="219" spans="1:30">
      <c r="A219" s="461">
        <v>15</v>
      </c>
      <c r="B219" s="459" t="s">
        <v>155</v>
      </c>
      <c r="C219" s="460">
        <v>36076</v>
      </c>
      <c r="D219" s="452"/>
      <c r="E219" s="452"/>
      <c r="F219" s="452"/>
      <c r="G219" s="452"/>
      <c r="H219" s="452"/>
      <c r="I219" s="452"/>
      <c r="J219" s="452"/>
      <c r="K219" s="452"/>
      <c r="L219" s="452"/>
      <c r="M219" s="452"/>
      <c r="N219" s="452"/>
      <c r="O219" s="452"/>
      <c r="P219" s="452">
        <f t="shared" si="66"/>
        <v>0</v>
      </c>
      <c r="Q219" s="452"/>
      <c r="R219" s="452"/>
      <c r="S219" s="452"/>
      <c r="T219" s="452"/>
      <c r="U219" s="452"/>
      <c r="V219" s="452"/>
      <c r="W219" s="452"/>
      <c r="X219" s="452"/>
      <c r="Y219" s="452"/>
      <c r="Z219" s="452"/>
      <c r="AA219" s="452"/>
      <c r="AB219" s="452"/>
      <c r="AC219" s="452"/>
      <c r="AD219" s="452"/>
    </row>
    <row r="220" spans="1:30">
      <c r="A220" s="461">
        <v>16</v>
      </c>
      <c r="B220" s="459" t="s">
        <v>157</v>
      </c>
      <c r="C220" s="460">
        <v>36158</v>
      </c>
      <c r="D220" s="452"/>
      <c r="E220" s="452"/>
      <c r="F220" s="452"/>
      <c r="G220" s="452"/>
      <c r="H220" s="452"/>
      <c r="I220" s="452"/>
      <c r="J220" s="452"/>
      <c r="K220" s="452"/>
      <c r="L220" s="452"/>
      <c r="M220" s="452"/>
      <c r="N220" s="452"/>
      <c r="O220" s="452"/>
      <c r="P220" s="452">
        <f t="shared" si="66"/>
        <v>0</v>
      </c>
      <c r="Q220" s="452"/>
      <c r="R220" s="452"/>
      <c r="S220" s="452"/>
      <c r="T220" s="452"/>
      <c r="U220" s="452"/>
      <c r="V220" s="452"/>
      <c r="W220" s="452"/>
      <c r="X220" s="452"/>
      <c r="Y220" s="452"/>
      <c r="Z220" s="452"/>
      <c r="AA220" s="452"/>
      <c r="AB220" s="452"/>
      <c r="AC220" s="452"/>
      <c r="AD220" s="452"/>
    </row>
    <row r="221" spans="1:30">
      <c r="A221" s="461">
        <v>17</v>
      </c>
      <c r="B221" s="459" t="s">
        <v>159</v>
      </c>
      <c r="C221" s="460">
        <v>36417</v>
      </c>
      <c r="D221" s="452"/>
      <c r="E221" s="452"/>
      <c r="F221" s="452"/>
      <c r="G221" s="452"/>
      <c r="H221" s="452"/>
      <c r="I221" s="452"/>
      <c r="J221" s="452"/>
      <c r="K221" s="452">
        <v>2500</v>
      </c>
      <c r="L221" s="452"/>
      <c r="M221" s="452"/>
      <c r="N221" s="452"/>
      <c r="O221" s="452"/>
      <c r="P221" s="452">
        <f t="shared" si="66"/>
        <v>2500</v>
      </c>
      <c r="Q221" s="452"/>
      <c r="R221" s="452"/>
      <c r="S221" s="452"/>
      <c r="T221" s="452"/>
      <c r="U221" s="452"/>
      <c r="V221" s="452"/>
      <c r="W221" s="452"/>
      <c r="X221" s="452"/>
      <c r="Y221" s="452"/>
      <c r="Z221" s="452"/>
      <c r="AA221" s="452"/>
      <c r="AB221" s="452"/>
      <c r="AC221" s="452"/>
      <c r="AD221" s="452"/>
    </row>
    <row r="222" spans="1:30">
      <c r="A222" s="461">
        <v>18</v>
      </c>
      <c r="B222" s="459" t="s">
        <v>160</v>
      </c>
      <c r="C222" s="460">
        <v>36429</v>
      </c>
      <c r="D222" s="452"/>
      <c r="E222" s="452"/>
      <c r="F222" s="452"/>
      <c r="G222" s="452"/>
      <c r="H222" s="452"/>
      <c r="I222" s="452"/>
      <c r="J222" s="452"/>
      <c r="K222" s="452"/>
      <c r="L222" s="452"/>
      <c r="M222" s="452"/>
      <c r="N222" s="452"/>
      <c r="O222" s="452">
        <v>2500</v>
      </c>
      <c r="P222" s="452">
        <f t="shared" si="66"/>
        <v>2500</v>
      </c>
      <c r="Q222" s="452"/>
      <c r="R222" s="452"/>
      <c r="S222" s="452"/>
      <c r="T222" s="452"/>
      <c r="U222" s="452"/>
      <c r="V222" s="452"/>
      <c r="W222" s="452"/>
      <c r="X222" s="452"/>
      <c r="Y222" s="452"/>
      <c r="Z222" s="452"/>
      <c r="AA222" s="452"/>
      <c r="AB222" s="452"/>
      <c r="AC222" s="452"/>
      <c r="AD222" s="452"/>
    </row>
    <row r="223" spans="1:30">
      <c r="A223" s="461">
        <v>20</v>
      </c>
      <c r="B223" s="459" t="s">
        <v>165</v>
      </c>
      <c r="C223" s="460">
        <v>36808</v>
      </c>
      <c r="D223" s="452"/>
      <c r="E223" s="452"/>
      <c r="F223" s="452"/>
      <c r="G223" s="452"/>
      <c r="H223" s="452"/>
      <c r="I223" s="452"/>
      <c r="J223" s="452"/>
      <c r="K223" s="452"/>
      <c r="L223" s="452"/>
      <c r="M223" s="452"/>
      <c r="N223" s="452"/>
      <c r="O223" s="452"/>
      <c r="P223" s="452">
        <f t="shared" si="66"/>
        <v>0</v>
      </c>
      <c r="Q223" s="452"/>
      <c r="R223" s="452"/>
      <c r="S223" s="452"/>
      <c r="T223" s="452"/>
      <c r="U223" s="452"/>
      <c r="V223" s="452"/>
      <c r="W223" s="452"/>
      <c r="X223" s="452"/>
      <c r="Y223" s="452"/>
      <c r="Z223" s="452"/>
      <c r="AA223" s="452"/>
      <c r="AB223" s="452"/>
      <c r="AC223" s="452"/>
      <c r="AD223" s="452"/>
    </row>
    <row r="224" spans="1:30">
      <c r="A224" s="458">
        <v>21</v>
      </c>
      <c r="B224" s="459" t="s">
        <v>162</v>
      </c>
      <c r="C224" s="460">
        <v>36551</v>
      </c>
      <c r="D224" s="452"/>
      <c r="E224" s="452"/>
      <c r="F224" s="452"/>
      <c r="G224" s="452"/>
      <c r="H224" s="452"/>
      <c r="I224" s="452"/>
      <c r="J224" s="452"/>
      <c r="K224" s="452"/>
      <c r="L224" s="452"/>
      <c r="M224" s="452"/>
      <c r="N224" s="452"/>
      <c r="O224" s="452"/>
      <c r="P224" s="452">
        <f t="shared" si="66"/>
        <v>0</v>
      </c>
      <c r="Q224" s="452"/>
      <c r="R224" s="452"/>
      <c r="S224" s="452"/>
      <c r="T224" s="452"/>
      <c r="U224" s="452"/>
      <c r="V224" s="452"/>
      <c r="W224" s="452"/>
      <c r="X224" s="452"/>
      <c r="Y224" s="452"/>
      <c r="Z224" s="452"/>
      <c r="AA224" s="452"/>
      <c r="AB224" s="452"/>
      <c r="AC224" s="452"/>
      <c r="AD224" s="452"/>
    </row>
    <row r="225" spans="1:30">
      <c r="A225" s="461">
        <v>22</v>
      </c>
      <c r="B225" s="459" t="s">
        <v>177</v>
      </c>
      <c r="C225" s="460"/>
      <c r="D225" s="452"/>
      <c r="E225" s="452"/>
      <c r="F225" s="452"/>
      <c r="G225" s="452"/>
      <c r="H225" s="452"/>
      <c r="I225" s="452"/>
      <c r="J225" s="452"/>
      <c r="K225" s="452"/>
      <c r="L225" s="452"/>
      <c r="M225" s="452"/>
      <c r="N225" s="452"/>
      <c r="O225" s="452"/>
      <c r="P225" s="452">
        <f t="shared" si="66"/>
        <v>0</v>
      </c>
      <c r="Q225" s="452"/>
      <c r="R225" s="452"/>
      <c r="S225" s="452"/>
      <c r="T225" s="452"/>
      <c r="U225" s="452"/>
      <c r="V225" s="452"/>
      <c r="W225" s="452"/>
      <c r="X225" s="452"/>
      <c r="Y225" s="452"/>
      <c r="Z225" s="452"/>
      <c r="AA225" s="452"/>
      <c r="AB225" s="452"/>
      <c r="AC225" s="452"/>
      <c r="AD225" s="452"/>
    </row>
    <row r="226" spans="1:30">
      <c r="A226" s="461">
        <v>23</v>
      </c>
      <c r="B226" s="459" t="s">
        <v>177</v>
      </c>
      <c r="C226" s="460"/>
      <c r="D226" s="452"/>
      <c r="E226" s="452"/>
      <c r="F226" s="452"/>
      <c r="G226" s="452"/>
      <c r="H226" s="452"/>
      <c r="I226" s="452"/>
      <c r="J226" s="452"/>
      <c r="K226" s="452"/>
      <c r="L226" s="452"/>
      <c r="M226" s="452"/>
      <c r="N226" s="452"/>
      <c r="O226" s="452"/>
      <c r="P226" s="452">
        <f t="shared" si="66"/>
        <v>0</v>
      </c>
      <c r="Q226" s="452"/>
      <c r="R226" s="452"/>
      <c r="S226" s="452"/>
      <c r="T226" s="452"/>
      <c r="U226" s="452"/>
      <c r="V226" s="452"/>
      <c r="W226" s="452"/>
      <c r="X226" s="452"/>
      <c r="Y226" s="452"/>
      <c r="Z226" s="452"/>
      <c r="AA226" s="452"/>
      <c r="AB226" s="452"/>
      <c r="AC226" s="452"/>
      <c r="AD226" s="452"/>
    </row>
    <row r="227" spans="1:30">
      <c r="A227" s="461"/>
      <c r="B227" s="459"/>
      <c r="C227" s="459"/>
      <c r="D227" s="452"/>
      <c r="E227" s="452"/>
      <c r="F227" s="452"/>
      <c r="G227" s="452"/>
      <c r="H227" s="452"/>
      <c r="I227" s="452"/>
      <c r="J227" s="452"/>
      <c r="K227" s="452"/>
      <c r="L227" s="452"/>
      <c r="M227" s="452"/>
      <c r="N227" s="452"/>
      <c r="O227" s="452"/>
      <c r="P227" s="452"/>
      <c r="Q227" s="452"/>
      <c r="R227" s="452"/>
      <c r="S227" s="452"/>
      <c r="T227" s="452"/>
      <c r="U227" s="452"/>
      <c r="V227" s="452"/>
      <c r="W227" s="452"/>
      <c r="X227" s="452"/>
      <c r="Y227" s="452"/>
      <c r="Z227" s="452"/>
      <c r="AA227" s="452"/>
      <c r="AB227" s="452"/>
      <c r="AC227" s="452"/>
      <c r="AD227" s="452"/>
    </row>
    <row r="228" spans="1:30" ht="13.5" thickBot="1">
      <c r="A228" s="462"/>
      <c r="B228" s="463"/>
      <c r="C228" s="463"/>
      <c r="D228" s="463">
        <f>SUM(D198:D226)</f>
        <v>0</v>
      </c>
      <c r="E228" s="463">
        <f t="shared" ref="E228:P228" si="67">SUM(E198:E226)</f>
        <v>0</v>
      </c>
      <c r="F228" s="463">
        <f t="shared" si="67"/>
        <v>0</v>
      </c>
      <c r="G228" s="463">
        <f t="shared" si="67"/>
        <v>0</v>
      </c>
      <c r="H228" s="463">
        <f t="shared" si="67"/>
        <v>0</v>
      </c>
      <c r="I228" s="463">
        <f t="shared" si="67"/>
        <v>0</v>
      </c>
      <c r="J228" s="463">
        <f t="shared" si="67"/>
        <v>0</v>
      </c>
      <c r="K228" s="463">
        <f t="shared" si="67"/>
        <v>2500</v>
      </c>
      <c r="L228" s="463">
        <f t="shared" si="67"/>
        <v>0</v>
      </c>
      <c r="M228" s="463">
        <f t="shared" si="67"/>
        <v>0</v>
      </c>
      <c r="N228" s="463">
        <f t="shared" si="67"/>
        <v>0</v>
      </c>
      <c r="O228" s="463">
        <f t="shared" si="67"/>
        <v>5000</v>
      </c>
      <c r="P228" s="463">
        <f t="shared" si="67"/>
        <v>7500</v>
      </c>
      <c r="Q228" s="452"/>
      <c r="R228" s="452"/>
      <c r="S228" s="452"/>
      <c r="T228" s="452"/>
      <c r="U228" s="452"/>
      <c r="V228" s="452"/>
      <c r="W228" s="452"/>
      <c r="X228" s="452"/>
      <c r="Y228" s="452"/>
      <c r="Z228" s="452"/>
      <c r="AA228" s="452"/>
      <c r="AB228" s="452"/>
      <c r="AC228" s="452"/>
      <c r="AD228" s="452"/>
    </row>
    <row r="229" spans="1:30" ht="13.5" thickTop="1">
      <c r="A229" s="452"/>
      <c r="B229" s="468"/>
      <c r="C229" s="467"/>
      <c r="D229" s="452"/>
      <c r="E229" s="452"/>
      <c r="F229" s="452"/>
      <c r="G229" s="452"/>
      <c r="H229" s="452"/>
      <c r="I229" s="452"/>
      <c r="J229" s="452"/>
      <c r="K229" s="452"/>
      <c r="L229" s="452"/>
      <c r="M229" s="452"/>
      <c r="N229" s="452"/>
      <c r="O229" s="452"/>
      <c r="P229" s="452"/>
      <c r="Q229" s="452"/>
      <c r="R229" s="452"/>
      <c r="S229" s="452"/>
      <c r="T229" s="452"/>
      <c r="U229" s="452"/>
      <c r="V229" s="452"/>
      <c r="W229" s="452"/>
      <c r="X229" s="452"/>
      <c r="Y229" s="452"/>
      <c r="Z229" s="452"/>
      <c r="AA229" s="452"/>
      <c r="AB229" s="452"/>
      <c r="AC229" s="452"/>
      <c r="AD229" s="452"/>
    </row>
    <row r="230" spans="1:30">
      <c r="A230" s="452"/>
      <c r="B230" s="468"/>
      <c r="C230" s="467"/>
      <c r="D230" s="452"/>
      <c r="E230" s="452"/>
      <c r="F230" s="452"/>
      <c r="G230" s="452"/>
      <c r="H230" s="452"/>
      <c r="I230" s="452"/>
      <c r="J230" s="452"/>
      <c r="K230" s="452"/>
      <c r="L230" s="452"/>
      <c r="M230" s="452"/>
      <c r="N230" s="452"/>
      <c r="O230" s="452"/>
      <c r="P230" s="452"/>
      <c r="Q230" s="452"/>
      <c r="R230" s="452"/>
      <c r="S230" s="452"/>
      <c r="T230" s="452"/>
      <c r="U230" s="452"/>
      <c r="V230" s="452"/>
      <c r="W230" s="452"/>
      <c r="X230" s="452"/>
      <c r="Y230" s="452"/>
      <c r="Z230" s="452"/>
      <c r="AA230" s="452"/>
      <c r="AB230" s="452"/>
      <c r="AC230" s="452"/>
      <c r="AD230" s="452"/>
    </row>
    <row r="231" spans="1:30">
      <c r="A231" s="452"/>
      <c r="B231" s="468"/>
      <c r="C231" s="467"/>
      <c r="D231" s="452"/>
      <c r="E231" s="452"/>
      <c r="F231" s="452"/>
      <c r="G231" s="452"/>
      <c r="H231" s="452"/>
      <c r="I231" s="452"/>
      <c r="J231" s="452"/>
      <c r="K231" s="452"/>
      <c r="L231" s="452"/>
      <c r="M231" s="452"/>
      <c r="N231" s="452"/>
      <c r="O231" s="452"/>
      <c r="P231" s="452"/>
      <c r="Q231" s="452"/>
      <c r="R231" s="452"/>
      <c r="S231" s="452"/>
      <c r="T231" s="452"/>
      <c r="U231" s="452"/>
      <c r="V231" s="452"/>
      <c r="W231" s="452"/>
      <c r="X231" s="452"/>
      <c r="Y231" s="452"/>
      <c r="Z231" s="452"/>
      <c r="AA231" s="452"/>
      <c r="AB231" s="452"/>
      <c r="AC231" s="452"/>
      <c r="AD231" s="452"/>
    </row>
    <row r="232" spans="1:30">
      <c r="A232" s="452"/>
      <c r="B232" s="468"/>
      <c r="C232" s="467"/>
      <c r="D232" s="452"/>
      <c r="E232" s="452"/>
      <c r="F232" s="452"/>
      <c r="G232" s="452"/>
      <c r="H232" s="452"/>
      <c r="I232" s="452"/>
      <c r="J232" s="452"/>
      <c r="K232" s="452"/>
      <c r="L232" s="452"/>
      <c r="M232" s="452"/>
      <c r="N232" s="452"/>
      <c r="O232" s="452"/>
      <c r="P232" s="452"/>
      <c r="Q232" s="452"/>
      <c r="R232" s="452"/>
      <c r="S232" s="452"/>
      <c r="T232" s="452"/>
      <c r="U232" s="452"/>
      <c r="V232" s="452"/>
      <c r="W232" s="452"/>
      <c r="X232" s="452"/>
      <c r="Y232" s="452"/>
      <c r="Z232" s="452"/>
      <c r="AA232" s="452"/>
      <c r="AB232" s="452"/>
      <c r="AC232" s="452"/>
      <c r="AD232" s="452"/>
    </row>
    <row r="233" spans="1:30">
      <c r="A233" s="452"/>
      <c r="B233" s="468"/>
      <c r="C233" s="467"/>
      <c r="D233" s="452"/>
      <c r="E233" s="452"/>
      <c r="F233" s="452"/>
      <c r="G233" s="452"/>
      <c r="H233" s="452"/>
      <c r="I233" s="452"/>
      <c r="J233" s="452"/>
      <c r="K233" s="452"/>
      <c r="L233" s="452"/>
      <c r="M233" s="452"/>
      <c r="N233" s="452"/>
      <c r="O233" s="452"/>
      <c r="P233" s="452"/>
      <c r="Q233" s="452"/>
      <c r="R233" s="452"/>
      <c r="S233" s="452"/>
      <c r="T233" s="452"/>
      <c r="U233" s="452"/>
      <c r="V233" s="452"/>
      <c r="W233" s="452"/>
      <c r="X233" s="452"/>
      <c r="Y233" s="452"/>
      <c r="Z233" s="452"/>
      <c r="AA233" s="452"/>
      <c r="AB233" s="452"/>
      <c r="AC233" s="452"/>
      <c r="AD233" s="452"/>
    </row>
    <row r="234" spans="1:30">
      <c r="A234" s="452"/>
      <c r="B234" s="468"/>
      <c r="C234" s="467"/>
      <c r="D234" s="452"/>
      <c r="E234" s="452"/>
      <c r="F234" s="452"/>
      <c r="G234" s="452"/>
      <c r="H234" s="452"/>
      <c r="I234" s="452"/>
      <c r="J234" s="452"/>
      <c r="K234" s="452"/>
      <c r="L234" s="452"/>
      <c r="M234" s="452"/>
      <c r="N234" s="452"/>
      <c r="O234" s="452"/>
      <c r="P234" s="452"/>
      <c r="Q234" s="452"/>
      <c r="R234" s="452"/>
      <c r="S234" s="452"/>
      <c r="T234" s="452"/>
      <c r="U234" s="452"/>
      <c r="V234" s="452"/>
      <c r="W234" s="452"/>
      <c r="X234" s="452"/>
      <c r="Y234" s="452"/>
      <c r="Z234" s="452"/>
      <c r="AA234" s="452"/>
      <c r="AB234" s="452"/>
      <c r="AC234" s="452"/>
      <c r="AD234" s="452"/>
    </row>
    <row r="235" spans="1:30">
      <c r="A235" s="452"/>
      <c r="B235" s="468"/>
      <c r="C235" s="467"/>
      <c r="D235" s="452"/>
      <c r="E235" s="452"/>
      <c r="F235" s="452"/>
      <c r="G235" s="452"/>
      <c r="H235" s="452"/>
      <c r="I235" s="452"/>
      <c r="J235" s="452"/>
      <c r="K235" s="452"/>
      <c r="L235" s="452"/>
      <c r="M235" s="452"/>
      <c r="N235" s="452"/>
      <c r="O235" s="452"/>
      <c r="P235" s="452"/>
      <c r="Q235" s="452"/>
      <c r="R235" s="452"/>
      <c r="S235" s="452"/>
      <c r="T235" s="452"/>
      <c r="U235" s="452"/>
      <c r="V235" s="452"/>
      <c r="W235" s="452"/>
      <c r="X235" s="452"/>
      <c r="Y235" s="452"/>
      <c r="Z235" s="452"/>
      <c r="AA235" s="452"/>
      <c r="AB235" s="452"/>
      <c r="AC235" s="452"/>
      <c r="AD235" s="452"/>
    </row>
    <row r="236" spans="1:30">
      <c r="A236" s="452"/>
      <c r="B236" s="468"/>
      <c r="C236" s="467"/>
      <c r="D236" s="452"/>
      <c r="E236" s="452"/>
      <c r="F236" s="452"/>
      <c r="G236" s="452"/>
      <c r="H236" s="452"/>
      <c r="I236" s="452"/>
      <c r="J236" s="452"/>
      <c r="K236" s="452"/>
      <c r="L236" s="452"/>
      <c r="M236" s="452"/>
      <c r="N236" s="452"/>
      <c r="O236" s="452"/>
      <c r="P236" s="452"/>
      <c r="Q236" s="452"/>
      <c r="R236" s="452"/>
      <c r="S236" s="452"/>
      <c r="T236" s="452"/>
      <c r="U236" s="452"/>
      <c r="V236" s="452"/>
      <c r="W236" s="452"/>
      <c r="X236" s="452"/>
      <c r="Y236" s="452"/>
      <c r="Z236" s="452"/>
      <c r="AA236" s="452"/>
      <c r="AB236" s="452"/>
      <c r="AC236" s="452"/>
      <c r="AD236" s="452"/>
    </row>
    <row r="237" spans="1:30">
      <c r="A237" s="452"/>
      <c r="B237" s="468"/>
      <c r="C237" s="467"/>
      <c r="D237" s="452"/>
      <c r="E237" s="452"/>
      <c r="F237" s="452"/>
      <c r="G237" s="452"/>
      <c r="H237" s="452"/>
      <c r="I237" s="452"/>
      <c r="J237" s="452"/>
      <c r="K237" s="452"/>
      <c r="L237" s="452"/>
      <c r="M237" s="452"/>
      <c r="N237" s="452"/>
      <c r="O237" s="452"/>
      <c r="P237" s="452"/>
      <c r="Q237" s="452"/>
      <c r="R237" s="452"/>
      <c r="S237" s="452"/>
      <c r="T237" s="452"/>
      <c r="U237" s="452"/>
      <c r="V237" s="452"/>
      <c r="W237" s="452"/>
      <c r="X237" s="452"/>
      <c r="Y237" s="452"/>
      <c r="Z237" s="452"/>
      <c r="AA237" s="452"/>
      <c r="AB237" s="452"/>
      <c r="AC237" s="452"/>
      <c r="AD237" s="452"/>
    </row>
    <row r="238" spans="1:30">
      <c r="A238" s="452"/>
      <c r="B238" s="468"/>
      <c r="C238" s="467"/>
      <c r="D238" s="452"/>
      <c r="E238" s="452"/>
      <c r="F238" s="452"/>
      <c r="G238" s="452"/>
      <c r="H238" s="452"/>
      <c r="I238" s="452"/>
      <c r="J238" s="452"/>
      <c r="K238" s="452"/>
      <c r="L238" s="452"/>
      <c r="M238" s="452"/>
      <c r="N238" s="452"/>
      <c r="O238" s="452"/>
      <c r="P238" s="452"/>
      <c r="Q238" s="452"/>
      <c r="R238" s="452"/>
      <c r="S238" s="452"/>
      <c r="T238" s="452"/>
      <c r="U238" s="452"/>
      <c r="V238" s="452"/>
      <c r="W238" s="452"/>
      <c r="X238" s="452"/>
      <c r="Y238" s="452"/>
      <c r="Z238" s="452"/>
      <c r="AA238" s="452"/>
      <c r="AB238" s="452"/>
      <c r="AC238" s="452"/>
      <c r="AD238" s="452"/>
    </row>
    <row r="239" spans="1:30">
      <c r="A239" s="452"/>
      <c r="B239" s="468"/>
      <c r="C239" s="467"/>
      <c r="D239" s="452"/>
      <c r="E239" s="452"/>
      <c r="F239" s="452"/>
      <c r="G239" s="452"/>
      <c r="H239" s="452"/>
      <c r="I239" s="452"/>
      <c r="J239" s="452"/>
      <c r="K239" s="452"/>
      <c r="L239" s="452"/>
      <c r="M239" s="452"/>
      <c r="N239" s="452"/>
      <c r="O239" s="452"/>
      <c r="P239" s="452"/>
      <c r="Q239" s="452"/>
      <c r="R239" s="452"/>
      <c r="S239" s="452"/>
      <c r="T239" s="452"/>
      <c r="U239" s="452"/>
      <c r="V239" s="452"/>
      <c r="W239" s="452"/>
      <c r="X239" s="452"/>
      <c r="Y239" s="452"/>
      <c r="Z239" s="452"/>
      <c r="AA239" s="452"/>
      <c r="AB239" s="452"/>
      <c r="AC239" s="452"/>
      <c r="AD239" s="452"/>
    </row>
    <row r="240" spans="1:30">
      <c r="A240" s="452"/>
      <c r="B240" s="468"/>
      <c r="C240" s="467"/>
      <c r="D240" s="452"/>
      <c r="E240" s="452"/>
      <c r="F240" s="452"/>
      <c r="G240" s="452"/>
      <c r="H240" s="452"/>
      <c r="I240" s="452"/>
      <c r="J240" s="452"/>
      <c r="K240" s="452"/>
      <c r="L240" s="452"/>
      <c r="M240" s="452"/>
      <c r="N240" s="452"/>
      <c r="O240" s="452"/>
      <c r="P240" s="452"/>
      <c r="Q240" s="452"/>
      <c r="R240" s="452"/>
      <c r="S240" s="452"/>
      <c r="T240" s="452"/>
      <c r="U240" s="452"/>
      <c r="V240" s="452"/>
      <c r="W240" s="452"/>
      <c r="X240" s="452"/>
      <c r="Y240" s="452"/>
      <c r="Z240" s="452"/>
      <c r="AA240" s="452"/>
      <c r="AB240" s="452"/>
      <c r="AC240" s="452"/>
      <c r="AD240" s="452"/>
    </row>
    <row r="241" spans="1:30">
      <c r="A241" s="452"/>
      <c r="B241" s="468"/>
      <c r="C241" s="467"/>
      <c r="D241" s="452"/>
      <c r="E241" s="452"/>
      <c r="F241" s="452"/>
      <c r="G241" s="452"/>
      <c r="H241" s="452"/>
      <c r="I241" s="452"/>
      <c r="J241" s="452"/>
      <c r="K241" s="452"/>
      <c r="L241" s="452"/>
      <c r="M241" s="452"/>
      <c r="N241" s="452"/>
      <c r="O241" s="452"/>
      <c r="P241" s="452"/>
      <c r="Q241" s="452"/>
      <c r="R241" s="452"/>
      <c r="S241" s="452"/>
      <c r="T241" s="452"/>
      <c r="U241" s="452"/>
      <c r="V241" s="452"/>
      <c r="W241" s="452"/>
      <c r="X241" s="452"/>
      <c r="Y241" s="452"/>
      <c r="Z241" s="452"/>
      <c r="AA241" s="452"/>
      <c r="AB241" s="452"/>
      <c r="AC241" s="452"/>
      <c r="AD241" s="452"/>
    </row>
    <row r="242" spans="1:30">
      <c r="A242" s="452"/>
      <c r="B242" s="468"/>
      <c r="C242" s="467"/>
      <c r="D242" s="452"/>
      <c r="E242" s="452"/>
      <c r="F242" s="452"/>
      <c r="G242" s="452"/>
      <c r="H242" s="452"/>
      <c r="I242" s="452"/>
      <c r="J242" s="452"/>
      <c r="K242" s="452"/>
      <c r="L242" s="452"/>
      <c r="M242" s="452"/>
      <c r="N242" s="452"/>
      <c r="O242" s="452"/>
      <c r="P242" s="452"/>
      <c r="Q242" s="452"/>
      <c r="R242" s="452"/>
      <c r="S242" s="452"/>
      <c r="T242" s="452"/>
      <c r="U242" s="452"/>
      <c r="V242" s="452"/>
      <c r="W242" s="452"/>
      <c r="X242" s="452"/>
      <c r="Y242" s="452"/>
      <c r="Z242" s="452"/>
      <c r="AA242" s="452"/>
      <c r="AB242" s="452"/>
      <c r="AC242" s="452"/>
      <c r="AD242" s="452"/>
    </row>
    <row r="243" spans="1:30">
      <c r="A243" s="452"/>
      <c r="B243" s="468"/>
      <c r="C243" s="467"/>
      <c r="D243" s="452"/>
      <c r="E243" s="452"/>
      <c r="F243" s="452"/>
      <c r="G243" s="452"/>
      <c r="H243" s="452"/>
      <c r="I243" s="452"/>
      <c r="J243" s="452"/>
      <c r="K243" s="452"/>
      <c r="L243" s="452"/>
      <c r="M243" s="452"/>
      <c r="N243" s="452"/>
      <c r="O243" s="452"/>
      <c r="P243" s="452"/>
      <c r="Q243" s="452"/>
      <c r="R243" s="452"/>
      <c r="S243" s="452"/>
      <c r="T243" s="452"/>
      <c r="U243" s="452"/>
      <c r="V243" s="452"/>
      <c r="W243" s="452"/>
      <c r="X243" s="452"/>
      <c r="Y243" s="452"/>
      <c r="Z243" s="452"/>
      <c r="AA243" s="452"/>
      <c r="AB243" s="452"/>
      <c r="AC243" s="452"/>
      <c r="AD243" s="452"/>
    </row>
    <row r="244" spans="1:30">
      <c r="A244" s="452"/>
      <c r="B244" s="468"/>
      <c r="C244" s="467"/>
      <c r="D244" s="452"/>
      <c r="E244" s="452"/>
      <c r="F244" s="452"/>
      <c r="G244" s="452"/>
      <c r="H244" s="452"/>
      <c r="I244" s="452"/>
      <c r="J244" s="452"/>
      <c r="K244" s="452"/>
      <c r="L244" s="452"/>
      <c r="M244" s="452"/>
      <c r="N244" s="452"/>
      <c r="O244" s="452"/>
      <c r="P244" s="452"/>
      <c r="Q244" s="452"/>
      <c r="R244" s="452"/>
      <c r="S244" s="452"/>
      <c r="T244" s="452"/>
      <c r="U244" s="452"/>
      <c r="V244" s="452"/>
      <c r="W244" s="452"/>
      <c r="X244" s="452"/>
      <c r="Y244" s="452"/>
      <c r="Z244" s="452"/>
      <c r="AA244" s="452"/>
      <c r="AB244" s="452"/>
      <c r="AC244" s="452"/>
      <c r="AD244" s="452"/>
    </row>
    <row r="245" spans="1:30">
      <c r="A245" s="452"/>
      <c r="B245" s="468"/>
      <c r="C245" s="467"/>
      <c r="D245" s="452"/>
      <c r="E245" s="452"/>
      <c r="F245" s="452"/>
      <c r="G245" s="452"/>
      <c r="H245" s="452"/>
      <c r="I245" s="452"/>
      <c r="J245" s="452"/>
      <c r="K245" s="452"/>
      <c r="L245" s="452"/>
      <c r="M245" s="452"/>
      <c r="N245" s="452"/>
      <c r="O245" s="452"/>
      <c r="P245" s="452"/>
      <c r="Q245" s="452"/>
      <c r="R245" s="452"/>
      <c r="S245" s="452"/>
      <c r="T245" s="452"/>
      <c r="U245" s="452"/>
      <c r="V245" s="452"/>
      <c r="W245" s="452"/>
      <c r="X245" s="452"/>
      <c r="Y245" s="452"/>
      <c r="Z245" s="452"/>
      <c r="AA245" s="452"/>
      <c r="AB245" s="452"/>
      <c r="AC245" s="452"/>
      <c r="AD245" s="452"/>
    </row>
    <row r="246" spans="1:30">
      <c r="A246" s="452"/>
      <c r="B246" s="468"/>
      <c r="C246" s="467"/>
      <c r="D246" s="452"/>
      <c r="E246" s="452"/>
      <c r="F246" s="452"/>
      <c r="G246" s="452"/>
      <c r="H246" s="452"/>
      <c r="I246" s="452"/>
      <c r="J246" s="452"/>
      <c r="K246" s="452"/>
      <c r="L246" s="452"/>
      <c r="M246" s="452"/>
      <c r="N246" s="452"/>
      <c r="O246" s="452"/>
      <c r="P246" s="452"/>
      <c r="Q246" s="452"/>
      <c r="R246" s="452"/>
      <c r="S246" s="452"/>
      <c r="T246" s="452"/>
      <c r="U246" s="452"/>
      <c r="V246" s="452"/>
      <c r="W246" s="452"/>
      <c r="X246" s="452"/>
      <c r="Y246" s="452"/>
      <c r="Z246" s="452"/>
      <c r="AA246" s="452"/>
      <c r="AB246" s="452"/>
      <c r="AC246" s="452"/>
      <c r="AD246" s="452"/>
    </row>
    <row r="247" spans="1:30">
      <c r="A247" s="452"/>
      <c r="B247" s="468"/>
      <c r="C247" s="467"/>
      <c r="D247" s="452"/>
      <c r="E247" s="452"/>
      <c r="F247" s="452"/>
      <c r="G247" s="452"/>
      <c r="H247" s="452"/>
      <c r="I247" s="452"/>
      <c r="J247" s="452"/>
      <c r="K247" s="452"/>
      <c r="L247" s="452"/>
      <c r="M247" s="452"/>
      <c r="N247" s="452"/>
      <c r="O247" s="452"/>
      <c r="P247" s="452"/>
      <c r="Q247" s="452"/>
      <c r="R247" s="452"/>
      <c r="S247" s="452"/>
      <c r="T247" s="452"/>
      <c r="U247" s="452"/>
      <c r="V247" s="452"/>
      <c r="W247" s="452"/>
      <c r="X247" s="452"/>
      <c r="Y247" s="452"/>
      <c r="Z247" s="452"/>
      <c r="AA247" s="452"/>
      <c r="AB247" s="452"/>
      <c r="AC247" s="452"/>
      <c r="AD247" s="452"/>
    </row>
    <row r="248" spans="1:30">
      <c r="A248" s="452"/>
      <c r="B248" s="468"/>
      <c r="C248" s="467"/>
      <c r="D248" s="452"/>
      <c r="E248" s="452"/>
      <c r="F248" s="452"/>
      <c r="G248" s="452"/>
      <c r="H248" s="452"/>
      <c r="I248" s="452"/>
      <c r="J248" s="452"/>
      <c r="K248" s="452"/>
      <c r="L248" s="452"/>
      <c r="M248" s="452"/>
      <c r="N248" s="452"/>
      <c r="O248" s="452"/>
      <c r="P248" s="452"/>
      <c r="Q248" s="452"/>
      <c r="R248" s="452"/>
      <c r="S248" s="452"/>
      <c r="T248" s="452"/>
      <c r="U248" s="452"/>
      <c r="V248" s="452"/>
      <c r="W248" s="452"/>
      <c r="X248" s="452"/>
      <c r="Y248" s="452"/>
      <c r="Z248" s="452"/>
      <c r="AA248" s="452"/>
      <c r="AB248" s="452"/>
      <c r="AC248" s="452"/>
      <c r="AD248" s="452"/>
    </row>
    <row r="249" spans="1:30">
      <c r="A249" s="452"/>
      <c r="B249" s="468"/>
      <c r="C249" s="467"/>
      <c r="D249" s="452"/>
      <c r="E249" s="452"/>
      <c r="F249" s="452"/>
      <c r="G249" s="452"/>
      <c r="H249" s="452"/>
      <c r="I249" s="452"/>
      <c r="J249" s="452"/>
      <c r="K249" s="452"/>
      <c r="L249" s="452"/>
      <c r="M249" s="452"/>
      <c r="N249" s="452"/>
      <c r="O249" s="452"/>
      <c r="P249" s="452"/>
      <c r="Q249" s="452"/>
      <c r="R249" s="452"/>
      <c r="S249" s="452"/>
      <c r="T249" s="452"/>
      <c r="U249" s="452"/>
      <c r="V249" s="452"/>
      <c r="W249" s="452"/>
      <c r="X249" s="452"/>
      <c r="Y249" s="452"/>
      <c r="Z249" s="452"/>
      <c r="AA249" s="452"/>
      <c r="AB249" s="452"/>
      <c r="AC249" s="452"/>
      <c r="AD249" s="452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F32"/>
  <sheetViews>
    <sheetView showZeros="0" workbookViewId="0">
      <selection activeCell="E21" sqref="E21"/>
    </sheetView>
  </sheetViews>
  <sheetFormatPr defaultRowHeight="12.75"/>
  <cols>
    <col min="4" max="4" width="14.28515625" customWidth="1"/>
    <col min="5" max="5" width="13.28515625" customWidth="1"/>
    <col min="6" max="6" width="17.140625" customWidth="1"/>
  </cols>
  <sheetData>
    <row r="1" spans="1:6" ht="15.75">
      <c r="A1" s="195" t="s">
        <v>235</v>
      </c>
      <c r="E1" s="195" t="s">
        <v>33</v>
      </c>
      <c r="F1" s="196" t="s">
        <v>3</v>
      </c>
    </row>
    <row r="3" spans="1:6">
      <c r="A3" t="s">
        <v>236</v>
      </c>
      <c r="E3" s="163">
        <f>+'Monthly P &amp; L'!P9</f>
        <v>3143375</v>
      </c>
      <c r="F3" s="511">
        <f>+'Monthly P &amp; L'!Q9</f>
        <v>0.62993486973947899</v>
      </c>
    </row>
    <row r="4" spans="1:6">
      <c r="E4" s="163"/>
      <c r="F4" s="511"/>
    </row>
    <row r="5" spans="1:6">
      <c r="A5" t="s">
        <v>237</v>
      </c>
      <c r="E5" s="163">
        <f>+'Monthly P &amp; L'!P26</f>
        <v>507554.32109090919</v>
      </c>
      <c r="F5" s="511">
        <f>+'Monthly P &amp; L'!Q22</f>
        <v>0.10171429280378942</v>
      </c>
    </row>
    <row r="6" spans="1:6">
      <c r="E6" s="163"/>
      <c r="F6" s="511"/>
    </row>
    <row r="7" spans="1:6">
      <c r="A7" t="s">
        <v>22</v>
      </c>
      <c r="E7" s="163">
        <f>+'Monthly P &amp; L'!P30</f>
        <v>387554.32109090919</v>
      </c>
      <c r="F7" s="511">
        <f>+'Monthly P &amp; L'!Q30</f>
        <v>7.7666196611404642E-2</v>
      </c>
    </row>
    <row r="8" spans="1:6">
      <c r="E8" s="163"/>
      <c r="F8" s="511"/>
    </row>
    <row r="9" spans="1:6">
      <c r="A9" t="s">
        <v>238</v>
      </c>
      <c r="E9" s="163">
        <f>+'Monthly P &amp; L'!P35</f>
        <v>64272.990181818313</v>
      </c>
      <c r="F9" s="511">
        <f>+'Monthly P &amp; L'!Q35</f>
        <v>1.2880358753871406E-2</v>
      </c>
    </row>
    <row r="12" spans="1:6" ht="15.75">
      <c r="A12" s="195" t="s">
        <v>239</v>
      </c>
      <c r="E12" s="195" t="s">
        <v>245</v>
      </c>
      <c r="F12" s="195" t="s">
        <v>246</v>
      </c>
    </row>
    <row r="14" spans="1:6">
      <c r="A14" t="s">
        <v>240</v>
      </c>
      <c r="E14" s="163">
        <f>+'Monthly P &amp; L'!P20/'Monthly P &amp; L'!P43</f>
        <v>4184274.9235316697</v>
      </c>
      <c r="F14" s="512">
        <f>+E14/12</f>
        <v>348689.57696097245</v>
      </c>
    </row>
    <row r="15" spans="1:6">
      <c r="F15" s="512">
        <f>+E15/12</f>
        <v>0</v>
      </c>
    </row>
    <row r="16" spans="1:6">
      <c r="A16" t="s">
        <v>241</v>
      </c>
      <c r="E16" s="163">
        <f>+('Monthly P &amp; L'!P20+'Monthly P &amp; L'!P28)/'Monthly P &amp; L'!P43</f>
        <v>4374770.8077325681</v>
      </c>
      <c r="F16" s="512">
        <f>+E16/12</f>
        <v>364564.23397771403</v>
      </c>
    </row>
    <row r="17" spans="1:6">
      <c r="A17" t="s">
        <v>242</v>
      </c>
      <c r="E17" s="163">
        <f>(INC.STATE!L31+INC.STATE!L23)/65%</f>
        <v>0</v>
      </c>
      <c r="F17" s="512"/>
    </row>
    <row r="18" spans="1:6">
      <c r="E18" s="163"/>
      <c r="F18" s="512"/>
    </row>
    <row r="19" spans="1:6">
      <c r="A19" t="s">
        <v>243</v>
      </c>
      <c r="E19" s="163">
        <f>+('Monthly P &amp; L'!P20+'Monthly P &amp; L'!P28+'Monthly P &amp; L'!P32+'Monthly P &amp; L'!P33)/'Monthly P &amp; L'!P43</f>
        <v>4887968.8325423235</v>
      </c>
      <c r="F19" s="512">
        <f>+E19/12</f>
        <v>407330.73604519363</v>
      </c>
    </row>
    <row r="20" spans="1:6">
      <c r="E20" s="163"/>
      <c r="F20" s="512"/>
    </row>
    <row r="21" spans="1:6">
      <c r="A21" t="s">
        <v>244</v>
      </c>
      <c r="E21" s="163">
        <f>+('Monthly P &amp; L'!P20+'Monthly P &amp; L'!P28+'Monthly P &amp; L'!P32+'Monthly P &amp; L'!P33-'Monthly P &amp; L'!P38)/'Monthly P &amp; L'!P43</f>
        <v>11982948.352962254</v>
      </c>
      <c r="F21" s="512">
        <f>+E21/12</f>
        <v>998579.02941352117</v>
      </c>
    </row>
    <row r="24" spans="1:6" ht="15.75">
      <c r="A24" s="195"/>
    </row>
    <row r="26" spans="1:6">
      <c r="E26" s="315"/>
    </row>
    <row r="28" spans="1:6">
      <c r="E28" s="311"/>
    </row>
    <row r="30" spans="1:6">
      <c r="E30" s="272"/>
    </row>
    <row r="32" spans="1:6">
      <c r="E32" s="272"/>
    </row>
  </sheetData>
  <phoneticPr fontId="0" type="noConversion"/>
  <printOptions gridLines="1"/>
  <pageMargins left="2.52" right="0.75" top="1.28" bottom="1" header="0.5" footer="0.5"/>
  <pageSetup orientation="landscape" useFirstPageNumber="1" r:id="rId1"/>
  <headerFooter alignWithMargins="0">
    <oddHeader>&amp;C&amp;"Arial,Bold"EXECUTRAIN - DUBAI
Budget for the period Jan 2003 to Dec 2003
Key Indicators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9"/>
  <dimension ref="A2:N34"/>
  <sheetViews>
    <sheetView workbookViewId="0">
      <selection activeCell="A5" sqref="A5"/>
    </sheetView>
  </sheetViews>
  <sheetFormatPr defaultRowHeight="13.5"/>
  <cols>
    <col min="1" max="1" width="8" style="345" customWidth="1"/>
    <col min="2" max="2" width="8.140625" style="345" customWidth="1"/>
    <col min="3" max="3" width="7.28515625" style="345" customWidth="1"/>
    <col min="4" max="4" width="8.140625" style="345" customWidth="1"/>
    <col min="5" max="5" width="8.28515625" style="345" customWidth="1"/>
    <col min="6" max="6" width="8.140625" style="345" customWidth="1"/>
    <col min="7" max="7" width="8.28515625" style="345" customWidth="1"/>
    <col min="8" max="8" width="8.140625" style="345" customWidth="1"/>
    <col min="12" max="12" width="14.42578125" customWidth="1"/>
    <col min="13" max="13" width="25.42578125" customWidth="1"/>
    <col min="14" max="14" width="13.42578125" customWidth="1"/>
  </cols>
  <sheetData>
    <row r="2" spans="1:14">
      <c r="A2" s="346"/>
      <c r="B2" s="346"/>
      <c r="C2" s="346"/>
      <c r="D2" s="346"/>
      <c r="E2" s="346"/>
      <c r="F2" s="346"/>
      <c r="G2" s="346"/>
      <c r="H2" s="346"/>
    </row>
    <row r="3" spans="1:14">
      <c r="A3" s="347">
        <v>2000</v>
      </c>
      <c r="B3" s="348" t="s">
        <v>560</v>
      </c>
      <c r="C3" s="347">
        <v>1999</v>
      </c>
      <c r="D3" s="348" t="s">
        <v>560</v>
      </c>
      <c r="E3" s="347">
        <v>1998</v>
      </c>
      <c r="F3" s="347" t="s">
        <v>560</v>
      </c>
      <c r="G3" s="347">
        <v>1997</v>
      </c>
      <c r="H3" s="348" t="s">
        <v>560</v>
      </c>
      <c r="K3" s="29" t="s">
        <v>561</v>
      </c>
      <c r="L3" s="29" t="s">
        <v>47</v>
      </c>
      <c r="M3" t="s">
        <v>562</v>
      </c>
      <c r="N3" s="29" t="s">
        <v>563</v>
      </c>
    </row>
    <row r="4" spans="1:14">
      <c r="A4" s="349"/>
      <c r="B4" s="349"/>
      <c r="C4" s="349"/>
      <c r="D4" s="349"/>
      <c r="E4" s="349"/>
      <c r="F4" s="349"/>
      <c r="G4" s="349"/>
      <c r="H4" s="349"/>
      <c r="K4">
        <v>1997</v>
      </c>
      <c r="L4" s="45">
        <f>G5</f>
        <v>527194</v>
      </c>
      <c r="M4" s="313">
        <f>G25</f>
        <v>-963339.96</v>
      </c>
      <c r="N4" s="45">
        <f>G34</f>
        <v>-1274940.33</v>
      </c>
    </row>
    <row r="5" spans="1:14">
      <c r="A5" s="350">
        <v>3393501.86</v>
      </c>
      <c r="B5" s="351">
        <v>1</v>
      </c>
      <c r="C5" s="352">
        <v>2322500</v>
      </c>
      <c r="D5" s="351">
        <v>1</v>
      </c>
      <c r="E5" s="353">
        <v>1328218</v>
      </c>
      <c r="F5" s="351">
        <v>1</v>
      </c>
      <c r="G5" s="350">
        <v>527194</v>
      </c>
      <c r="H5" s="351">
        <v>1</v>
      </c>
      <c r="K5">
        <v>1998</v>
      </c>
      <c r="L5" s="375">
        <f>E5</f>
        <v>1328218</v>
      </c>
      <c r="M5" s="313">
        <f>E25</f>
        <v>-567949.69999999995</v>
      </c>
      <c r="N5" s="45">
        <f>E34</f>
        <v>-1089739.7</v>
      </c>
    </row>
    <row r="6" spans="1:14">
      <c r="A6" s="354"/>
      <c r="B6" s="354"/>
      <c r="C6" s="354"/>
      <c r="D6" s="351"/>
      <c r="E6" s="353"/>
      <c r="F6" s="354"/>
      <c r="G6" s="354"/>
      <c r="H6" s="354"/>
      <c r="K6">
        <v>1999</v>
      </c>
      <c r="L6" s="376">
        <f>C5</f>
        <v>2322500</v>
      </c>
      <c r="M6" s="377">
        <f>C25</f>
        <v>-46678</v>
      </c>
      <c r="N6" s="376">
        <f>C34</f>
        <v>-649952</v>
      </c>
    </row>
    <row r="7" spans="1:14">
      <c r="A7" s="350">
        <v>998019.86</v>
      </c>
      <c r="B7" s="351">
        <v>0.29409733696153034</v>
      </c>
      <c r="C7" s="352">
        <v>664828</v>
      </c>
      <c r="D7" s="351">
        <v>0.28625532831001077</v>
      </c>
      <c r="E7" s="353">
        <v>374977.5</v>
      </c>
      <c r="F7" s="351">
        <v>0.28163769755253421</v>
      </c>
      <c r="G7" s="353">
        <v>232887</v>
      </c>
      <c r="H7" s="351">
        <v>0.44174819895522333</v>
      </c>
      <c r="K7">
        <v>2000</v>
      </c>
      <c r="L7" s="45">
        <f>INC.STATE!N4</f>
        <v>3388445</v>
      </c>
      <c r="M7" s="313">
        <f>INC.STATE!N28</f>
        <v>-142732</v>
      </c>
      <c r="N7" s="45">
        <f>INC.STATE!N37</f>
        <v>-755024</v>
      </c>
    </row>
    <row r="8" spans="1:14">
      <c r="A8" s="354"/>
      <c r="B8" s="355"/>
      <c r="C8" s="355"/>
      <c r="D8" s="351"/>
      <c r="E8" s="353"/>
      <c r="F8" s="355"/>
      <c r="G8" s="354"/>
      <c r="H8" s="355"/>
      <c r="K8">
        <v>2001</v>
      </c>
      <c r="L8" s="45">
        <f>INC.STATE!K4</f>
        <v>1</v>
      </c>
      <c r="M8" s="313">
        <f>INC.STATE!K28</f>
        <v>0</v>
      </c>
      <c r="N8" s="45">
        <f>INC.STATE!K37</f>
        <v>0</v>
      </c>
    </row>
    <row r="9" spans="1:14">
      <c r="A9" s="356">
        <v>2395482</v>
      </c>
      <c r="B9" s="357">
        <v>0.70590266303846971</v>
      </c>
      <c r="C9" s="358">
        <v>1657671</v>
      </c>
      <c r="D9" s="357">
        <v>0.71374424111948331</v>
      </c>
      <c r="E9" s="359">
        <v>953240.5</v>
      </c>
      <c r="F9" s="357">
        <v>0.71836230244746579</v>
      </c>
      <c r="G9" s="356">
        <v>294306.82</v>
      </c>
      <c r="H9" s="357">
        <v>0.5582514596144873</v>
      </c>
    </row>
    <row r="10" spans="1:14">
      <c r="A10" s="354"/>
      <c r="B10" s="355"/>
      <c r="C10" s="355"/>
      <c r="D10" s="355"/>
      <c r="E10" s="353"/>
      <c r="F10" s="355"/>
      <c r="G10" s="354"/>
      <c r="H10" s="355"/>
    </row>
    <row r="11" spans="1:14">
      <c r="A11" s="354"/>
      <c r="B11" s="355"/>
      <c r="C11" s="355"/>
      <c r="D11" s="355"/>
      <c r="E11" s="353"/>
      <c r="F11" s="355"/>
      <c r="G11" s="354"/>
      <c r="H11" s="355"/>
    </row>
    <row r="12" spans="1:14">
      <c r="A12" s="350">
        <v>1294281.95</v>
      </c>
      <c r="B12" s="351">
        <v>0.38140010036711752</v>
      </c>
      <c r="C12" s="352">
        <v>971240</v>
      </c>
      <c r="D12" s="351">
        <v>0.41818729817007533</v>
      </c>
      <c r="E12" s="353">
        <v>889088.6</v>
      </c>
      <c r="F12" s="351">
        <v>0.66777570980713796</v>
      </c>
      <c r="G12" s="350">
        <v>679342.56</v>
      </c>
      <c r="H12" s="351">
        <v>1.2886007048638644</v>
      </c>
    </row>
    <row r="13" spans="1:14">
      <c r="A13" s="350">
        <v>476559.79</v>
      </c>
      <c r="B13" s="351">
        <v>0.14043304222617989</v>
      </c>
      <c r="C13" s="352">
        <v>458703</v>
      </c>
      <c r="D13" s="351">
        <v>0.19750398277717976</v>
      </c>
      <c r="E13" s="353">
        <v>437915</v>
      </c>
      <c r="F13" s="351">
        <v>0.35820583768583569</v>
      </c>
      <c r="G13" s="350">
        <v>371242.7</v>
      </c>
      <c r="H13" s="351">
        <v>0.70418612503177203</v>
      </c>
    </row>
    <row r="14" spans="1:14">
      <c r="A14" s="350">
        <v>5674</v>
      </c>
      <c r="B14" s="351">
        <v>1.6720191218636904E-3</v>
      </c>
      <c r="C14" s="352">
        <v>2961</v>
      </c>
      <c r="D14" s="351">
        <v>1.27491926803014E-3</v>
      </c>
      <c r="E14" s="353">
        <v>4352</v>
      </c>
      <c r="F14" s="351">
        <v>3.2686954810585405E-3</v>
      </c>
      <c r="G14" s="350">
        <v>0</v>
      </c>
      <c r="H14" s="351">
        <v>0</v>
      </c>
    </row>
    <row r="15" spans="1:14">
      <c r="A15" s="350">
        <v>5532</v>
      </c>
      <c r="B15" s="351">
        <v>1.6301744416901544E-3</v>
      </c>
      <c r="C15" s="352">
        <v>5588</v>
      </c>
      <c r="D15" s="351">
        <v>2.4060279870828849E-3</v>
      </c>
      <c r="E15" s="353">
        <v>7021</v>
      </c>
      <c r="F15" s="351">
        <v>5.2733251315514734E-3</v>
      </c>
      <c r="G15" s="350">
        <v>2785</v>
      </c>
      <c r="H15" s="351">
        <v>5.2826853112895823E-3</v>
      </c>
    </row>
    <row r="16" spans="1:14">
      <c r="A16" s="350">
        <v>43613.5</v>
      </c>
      <c r="B16" s="351">
        <v>1.2852063089778298E-2</v>
      </c>
      <c r="C16" s="352">
        <v>69996</v>
      </c>
      <c r="D16" s="351">
        <v>3.0138213132400431E-2</v>
      </c>
      <c r="E16" s="353">
        <v>34000</v>
      </c>
      <c r="F16" s="351">
        <v>2.5536683445769849E-2</v>
      </c>
      <c r="G16" s="350">
        <v>10000</v>
      </c>
      <c r="H16" s="351">
        <v>1.8968349412170852E-2</v>
      </c>
    </row>
    <row r="17" spans="1:8">
      <c r="A17" s="350">
        <v>164861.47</v>
      </c>
      <c r="B17" s="351">
        <v>4.858151750062692E-2</v>
      </c>
      <c r="C17" s="352">
        <v>137350</v>
      </c>
      <c r="D17" s="351">
        <v>5.9138858988159314E-2</v>
      </c>
      <c r="E17" s="353">
        <v>126806.6</v>
      </c>
      <c r="F17" s="351">
        <v>9.5241764795128206E-2</v>
      </c>
      <c r="G17" s="350">
        <v>190728.82</v>
      </c>
      <c r="H17" s="351">
        <v>0.36178109007310405</v>
      </c>
    </row>
    <row r="18" spans="1:8">
      <c r="A18" s="350">
        <v>27056.42</v>
      </c>
      <c r="B18" s="351">
        <v>7.9730087432455382E-3</v>
      </c>
      <c r="C18" s="352">
        <v>59541</v>
      </c>
      <c r="D18" s="351">
        <v>2.5636598493003229E-2</v>
      </c>
      <c r="E18" s="353">
        <v>22007</v>
      </c>
      <c r="F18" s="351">
        <v>0.17859942557483824</v>
      </c>
      <c r="G18" s="350">
        <v>3547.7</v>
      </c>
      <c r="H18" s="351">
        <v>6.7294013209558525E-3</v>
      </c>
    </row>
    <row r="19" spans="1:8">
      <c r="A19" s="350">
        <v>74963</v>
      </c>
      <c r="B19" s="351"/>
      <c r="C19" s="352"/>
      <c r="D19" s="351"/>
      <c r="E19" s="353"/>
      <c r="F19" s="351"/>
      <c r="G19" s="350"/>
      <c r="H19" s="351"/>
    </row>
    <row r="20" spans="1:8">
      <c r="A20" s="360"/>
      <c r="B20" s="351"/>
      <c r="C20" s="352"/>
      <c r="D20" s="351"/>
      <c r="E20" s="361"/>
      <c r="F20" s="362"/>
      <c r="G20" s="360"/>
      <c r="H20" s="351"/>
    </row>
    <row r="21" spans="1:8">
      <c r="A21" s="363">
        <v>2092542.13</v>
      </c>
      <c r="B21" s="364">
        <v>0.61663208577112727</v>
      </c>
      <c r="C21" s="352">
        <v>1705379</v>
      </c>
      <c r="D21" s="351">
        <v>0.73428589881593109</v>
      </c>
      <c r="E21" s="363">
        <v>1521190.2</v>
      </c>
      <c r="F21" s="365">
        <v>1.33390144192132</v>
      </c>
      <c r="G21" s="363">
        <v>1257646.78</v>
      </c>
      <c r="H21" s="364">
        <v>2.3855483560131563</v>
      </c>
    </row>
    <row r="22" spans="1:8">
      <c r="A22" s="366"/>
      <c r="B22" s="367"/>
      <c r="C22" s="352"/>
      <c r="D22" s="351"/>
      <c r="E22" s="366"/>
      <c r="F22" s="368"/>
      <c r="G22" s="366"/>
      <c r="H22" s="367"/>
    </row>
    <row r="23" spans="1:8">
      <c r="A23" s="350">
        <v>87.36</v>
      </c>
      <c r="B23" s="366">
        <v>4.4297956315968363E-4</v>
      </c>
      <c r="C23" s="352">
        <v>1029</v>
      </c>
      <c r="D23" s="351">
        <v>4.4305705059203442E-4</v>
      </c>
      <c r="E23" s="366"/>
      <c r="F23" s="368"/>
      <c r="G23" s="366"/>
      <c r="H23" s="367"/>
    </row>
    <row r="24" spans="1:8">
      <c r="A24" s="354"/>
      <c r="B24" s="351"/>
      <c r="C24" s="351"/>
      <c r="D24" s="351"/>
      <c r="E24" s="353"/>
      <c r="F24" s="351"/>
      <c r="G24" s="354"/>
      <c r="H24" s="355"/>
    </row>
    <row r="25" spans="1:8">
      <c r="A25" s="356">
        <v>303027.23</v>
      </c>
      <c r="B25" s="357">
        <v>8.9296320586074507E-2</v>
      </c>
      <c r="C25" s="358">
        <v>-46678</v>
      </c>
      <c r="D25" s="357">
        <v>-2.0098170075349839E-2</v>
      </c>
      <c r="E25" s="356">
        <v>-567949.69999999995</v>
      </c>
      <c r="F25" s="357">
        <v>-0.6155391394738543</v>
      </c>
      <c r="G25" s="356">
        <v>-963339.96</v>
      </c>
      <c r="H25" s="357">
        <v>-1.8272968963986691</v>
      </c>
    </row>
    <row r="26" spans="1:8">
      <c r="A26" s="354"/>
      <c r="B26" s="355"/>
      <c r="C26" s="355"/>
      <c r="D26" s="351"/>
      <c r="E26" s="353"/>
      <c r="F26" s="355"/>
      <c r="G26" s="354"/>
      <c r="H26" s="355"/>
    </row>
    <row r="27" spans="1:8">
      <c r="A27" s="350">
        <v>120000</v>
      </c>
      <c r="B27" s="351">
        <v>3.5361701555100961E-2</v>
      </c>
      <c r="C27" s="352">
        <v>120000</v>
      </c>
      <c r="D27" s="351">
        <v>5.1668460710441337E-2</v>
      </c>
      <c r="E27" s="353">
        <v>40000</v>
      </c>
      <c r="F27" s="368">
        <v>1.33390144192132</v>
      </c>
      <c r="G27" s="354"/>
      <c r="H27" s="355"/>
    </row>
    <row r="28" spans="1:8">
      <c r="A28" s="354"/>
      <c r="B28" s="355"/>
      <c r="C28" s="355"/>
      <c r="D28" s="351"/>
      <c r="E28" s="353"/>
      <c r="F28" s="355"/>
      <c r="G28" s="354"/>
      <c r="H28" s="355"/>
    </row>
    <row r="29" spans="1:8">
      <c r="A29" s="356">
        <v>183027.23</v>
      </c>
      <c r="B29" s="357">
        <v>5.3934619030973539E-2</v>
      </c>
      <c r="C29" s="358">
        <v>-166678</v>
      </c>
      <c r="D29" s="357">
        <v>-7.176663078579118E-2</v>
      </c>
      <c r="E29" s="356">
        <v>-607949.69999999995</v>
      </c>
      <c r="F29" s="357">
        <v>-0.6155391394738543</v>
      </c>
      <c r="G29" s="369"/>
      <c r="H29" s="370"/>
    </row>
    <row r="30" spans="1:8">
      <c r="A30" s="354"/>
      <c r="B30" s="355"/>
      <c r="C30" s="355"/>
      <c r="D30" s="351"/>
      <c r="E30" s="353"/>
      <c r="F30" s="355"/>
      <c r="G30" s="354"/>
      <c r="H30" s="355"/>
    </row>
    <row r="31" spans="1:8">
      <c r="A31" s="350">
        <v>214251.5</v>
      </c>
      <c r="B31" s="351">
        <v>6.3135813339439281E-2</v>
      </c>
      <c r="C31" s="352">
        <v>201514</v>
      </c>
      <c r="D31" s="351">
        <v>8.6765984930032292E-2</v>
      </c>
      <c r="E31" s="353">
        <v>200030</v>
      </c>
      <c r="F31" s="351">
        <v>0.15023831734286303</v>
      </c>
      <c r="G31" s="350">
        <v>147240.37</v>
      </c>
      <c r="H31" s="351">
        <v>0.27929067857373185</v>
      </c>
    </row>
    <row r="32" spans="1:8">
      <c r="A32" s="350">
        <v>127509</v>
      </c>
      <c r="B32" s="351">
        <v>3.7574460029911404E-2</v>
      </c>
      <c r="C32" s="352">
        <v>281760</v>
      </c>
      <c r="D32" s="351">
        <v>0.12131754574811625</v>
      </c>
      <c r="E32" s="353">
        <v>281760</v>
      </c>
      <c r="F32" s="351">
        <v>0.21162399787294447</v>
      </c>
      <c r="G32" s="350">
        <v>164360</v>
      </c>
      <c r="H32" s="351">
        <v>0.31176379093844014</v>
      </c>
    </row>
    <row r="33" spans="1:8">
      <c r="A33" s="354"/>
      <c r="B33" s="355"/>
      <c r="C33" s="355"/>
      <c r="D33" s="351"/>
      <c r="E33" s="353"/>
      <c r="F33" s="355"/>
      <c r="G33" s="354"/>
      <c r="H33" s="355"/>
    </row>
    <row r="34" spans="1:8" ht="14.25" thickBot="1">
      <c r="A34" s="371">
        <v>-158733.26999999999</v>
      </c>
      <c r="B34" s="372">
        <v>-4.6775654338377146E-2</v>
      </c>
      <c r="C34" s="373">
        <v>-649952</v>
      </c>
      <c r="D34" s="372">
        <v>-0.27985016146393971</v>
      </c>
      <c r="E34" s="371">
        <v>-1089739.7</v>
      </c>
      <c r="F34" s="372">
        <v>-0.97740145468966177</v>
      </c>
      <c r="G34" s="371">
        <v>-1274940.33</v>
      </c>
      <c r="H34" s="372">
        <v>-2.4183513659108411</v>
      </c>
    </row>
  </sheetData>
  <phoneticPr fontId="0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0"/>
  <dimension ref="B1:O274"/>
  <sheetViews>
    <sheetView workbookViewId="0">
      <selection activeCell="H4" sqref="H4"/>
    </sheetView>
  </sheetViews>
  <sheetFormatPr defaultColWidth="5.7109375" defaultRowHeight="12.75"/>
  <cols>
    <col min="1" max="1" width="1.85546875" style="200" customWidth="1"/>
    <col min="2" max="2" width="7.140625" style="200" customWidth="1"/>
    <col min="3" max="3" width="6.7109375" style="200" customWidth="1"/>
    <col min="4" max="4" width="9.42578125" style="200" customWidth="1"/>
    <col min="5" max="5" width="9.28515625" style="200" customWidth="1"/>
    <col min="6" max="6" width="9.140625" style="200" customWidth="1"/>
    <col min="7" max="7" width="9.42578125" style="200" customWidth="1"/>
    <col min="8" max="8" width="10.140625" style="200" customWidth="1"/>
    <col min="9" max="9" width="13" style="200" hidden="1" customWidth="1"/>
    <col min="10" max="10" width="10" style="202" hidden="1" customWidth="1"/>
    <col min="11" max="11" width="6" style="202" hidden="1" customWidth="1"/>
    <col min="12" max="12" width="10" style="200" hidden="1" customWidth="1"/>
    <col min="13" max="16384" width="5.7109375" style="200"/>
  </cols>
  <sheetData>
    <row r="1" spans="2:12">
      <c r="H1" s="204">
        <v>2000</v>
      </c>
      <c r="J1" s="205">
        <v>1999</v>
      </c>
      <c r="K1" s="206"/>
      <c r="L1" s="204">
        <v>1998</v>
      </c>
    </row>
    <row r="2" spans="2:12" s="207" customFormat="1">
      <c r="B2" s="207" t="s">
        <v>275</v>
      </c>
      <c r="D2" s="207" t="s">
        <v>276</v>
      </c>
      <c r="K2" s="208"/>
    </row>
    <row r="4" spans="2:12">
      <c r="B4" s="200" t="s">
        <v>277</v>
      </c>
      <c r="H4" s="209">
        <v>2395.85</v>
      </c>
      <c r="J4" s="210">
        <v>121</v>
      </c>
      <c r="K4" s="210"/>
      <c r="L4" s="210">
        <v>2273</v>
      </c>
    </row>
    <row r="5" spans="2:12">
      <c r="B5" s="200" t="s">
        <v>278</v>
      </c>
      <c r="H5" s="209">
        <v>235807.46</v>
      </c>
      <c r="J5" s="210">
        <v>-715433</v>
      </c>
      <c r="K5" s="210"/>
      <c r="L5" s="210">
        <v>-819722</v>
      </c>
    </row>
    <row r="6" spans="2:12">
      <c r="J6" s="210"/>
      <c r="K6" s="210"/>
      <c r="L6" s="210"/>
    </row>
    <row r="7" spans="2:12" ht="13.5" thickBot="1">
      <c r="H7" s="211">
        <f>SUM(H4:H6)</f>
        <v>238203.31</v>
      </c>
      <c r="J7" s="211">
        <f>SUM(J4:J6)</f>
        <v>-715312</v>
      </c>
      <c r="K7" s="210"/>
      <c r="L7" s="211">
        <f>SUM(L4:L6)</f>
        <v>-817449</v>
      </c>
    </row>
    <row r="8" spans="2:12" ht="13.5" thickTop="1">
      <c r="J8" s="210"/>
      <c r="K8" s="210"/>
      <c r="L8" s="210"/>
    </row>
    <row r="9" spans="2:12" s="207" customFormat="1">
      <c r="B9" s="207" t="s">
        <v>279</v>
      </c>
      <c r="D9" s="207" t="s">
        <v>260</v>
      </c>
      <c r="J9" s="212"/>
      <c r="K9" s="212"/>
      <c r="L9" s="213"/>
    </row>
    <row r="10" spans="2:12">
      <c r="J10" s="210"/>
      <c r="K10" s="210"/>
      <c r="L10" s="210"/>
    </row>
    <row r="11" spans="2:12">
      <c r="B11" s="200" t="s">
        <v>280</v>
      </c>
      <c r="H11" s="209">
        <v>3433.6</v>
      </c>
      <c r="J11" s="210">
        <v>293</v>
      </c>
      <c r="K11" s="210"/>
      <c r="L11" s="210">
        <v>3018</v>
      </c>
    </row>
    <row r="12" spans="2:12">
      <c r="B12" s="200" t="s">
        <v>281</v>
      </c>
      <c r="H12" s="209">
        <v>4725</v>
      </c>
      <c r="J12" s="210">
        <v>2575</v>
      </c>
      <c r="K12" s="210"/>
      <c r="L12" s="210">
        <v>985</v>
      </c>
    </row>
    <row r="13" spans="2:12">
      <c r="B13" s="200" t="s">
        <v>282</v>
      </c>
      <c r="H13" s="209">
        <v>2608</v>
      </c>
      <c r="J13" s="210">
        <v>2873</v>
      </c>
      <c r="K13" s="210"/>
      <c r="L13" s="210">
        <v>0</v>
      </c>
    </row>
    <row r="14" spans="2:12">
      <c r="J14" s="210"/>
      <c r="K14" s="210"/>
      <c r="L14" s="210"/>
    </row>
    <row r="15" spans="2:12" ht="13.5" thickBot="1">
      <c r="H15" s="214">
        <f>SUM(H11:H14)</f>
        <v>10766.6</v>
      </c>
      <c r="J15" s="211">
        <f>SUM(J11:J14)</f>
        <v>5741</v>
      </c>
      <c r="K15" s="210"/>
      <c r="L15" s="211">
        <f>SUM(L11:L14)</f>
        <v>4003</v>
      </c>
    </row>
    <row r="16" spans="2:12" ht="13.5" thickTop="1">
      <c r="J16" s="210"/>
      <c r="K16" s="210"/>
      <c r="L16" s="210"/>
    </row>
    <row r="17" spans="2:12" s="207" customFormat="1">
      <c r="B17" s="207" t="s">
        <v>283</v>
      </c>
      <c r="D17" s="207" t="s">
        <v>261</v>
      </c>
      <c r="J17" s="212"/>
      <c r="K17" s="212"/>
      <c r="L17" s="213"/>
    </row>
    <row r="18" spans="2:12">
      <c r="J18" s="210"/>
      <c r="K18" s="210"/>
      <c r="L18" s="210"/>
    </row>
    <row r="19" spans="2:12">
      <c r="B19" s="200" t="s">
        <v>284</v>
      </c>
      <c r="H19" s="202">
        <v>422108</v>
      </c>
      <c r="J19" s="210">
        <v>270640</v>
      </c>
      <c r="K19" s="210"/>
      <c r="L19" s="210">
        <f>45599+13309.85-3200</f>
        <v>55708.85</v>
      </c>
    </row>
    <row r="20" spans="2:12">
      <c r="B20" s="200" t="s">
        <v>285</v>
      </c>
      <c r="H20" s="210">
        <f>34312-4879.87</f>
        <v>29432.13</v>
      </c>
      <c r="J20" s="210">
        <f>28991+45994</f>
        <v>74985</v>
      </c>
      <c r="K20" s="210"/>
      <c r="L20" s="210">
        <v>33466</v>
      </c>
    </row>
    <row r="21" spans="2:12">
      <c r="H21" s="202"/>
      <c r="J21" s="210"/>
      <c r="K21" s="210"/>
      <c r="L21" s="210"/>
    </row>
    <row r="22" spans="2:12" ht="13.5" thickBot="1">
      <c r="H22" s="215">
        <f>SUM(H19:H21)</f>
        <v>451540.13</v>
      </c>
      <c r="J22" s="211">
        <f>SUM(J19:J21)</f>
        <v>345625</v>
      </c>
      <c r="K22" s="210"/>
      <c r="L22" s="211">
        <f>SUM(L19:L21)</f>
        <v>89174.85</v>
      </c>
    </row>
    <row r="23" spans="2:12" ht="13.5" thickTop="1">
      <c r="H23" s="216"/>
      <c r="J23" s="217"/>
      <c r="K23" s="210"/>
      <c r="L23" s="217"/>
    </row>
    <row r="24" spans="2:12">
      <c r="B24" s="218" t="s">
        <v>286</v>
      </c>
      <c r="H24" s="216"/>
      <c r="J24" s="217"/>
      <c r="K24" s="210"/>
      <c r="L24" s="217"/>
    </row>
    <row r="25" spans="2:12">
      <c r="H25" s="216"/>
      <c r="J25" s="217"/>
      <c r="K25" s="210"/>
      <c r="L25" s="217"/>
    </row>
    <row r="26" spans="2:12">
      <c r="B26" s="200" t="s">
        <v>287</v>
      </c>
      <c r="H26" s="216">
        <v>87436.25</v>
      </c>
      <c r="J26" s="217"/>
      <c r="K26" s="210"/>
      <c r="L26" s="217"/>
    </row>
    <row r="27" spans="2:12">
      <c r="H27" s="216"/>
      <c r="J27" s="217"/>
      <c r="K27" s="210"/>
      <c r="L27" s="217"/>
    </row>
    <row r="28" spans="2:12">
      <c r="J28" s="210"/>
      <c r="K28" s="210"/>
      <c r="L28" s="210"/>
    </row>
    <row r="29" spans="2:12" s="207" customFormat="1">
      <c r="B29" s="207" t="s">
        <v>288</v>
      </c>
      <c r="D29" s="207" t="s">
        <v>289</v>
      </c>
      <c r="J29" s="212"/>
      <c r="K29" s="212"/>
      <c r="L29" s="213"/>
    </row>
    <row r="30" spans="2:12">
      <c r="J30" s="210"/>
      <c r="K30" s="210"/>
      <c r="L30" s="210"/>
    </row>
    <row r="31" spans="2:12">
      <c r="B31" s="200" t="s">
        <v>290</v>
      </c>
      <c r="H31" s="202">
        <v>359937.4</v>
      </c>
      <c r="J31" s="210">
        <v>0</v>
      </c>
      <c r="K31" s="210"/>
      <c r="L31" s="210">
        <v>0</v>
      </c>
    </row>
    <row r="32" spans="2:12">
      <c r="B32" s="200" t="s">
        <v>291</v>
      </c>
      <c r="H32" s="202">
        <v>898</v>
      </c>
      <c r="J32" s="210">
        <v>815</v>
      </c>
      <c r="K32" s="210"/>
      <c r="L32" s="210">
        <v>788</v>
      </c>
    </row>
    <row r="33" spans="2:12">
      <c r="B33" s="200" t="s">
        <v>292</v>
      </c>
      <c r="H33" s="202">
        <v>22432.03</v>
      </c>
      <c r="J33" s="210">
        <v>7743</v>
      </c>
      <c r="K33" s="210"/>
      <c r="L33" s="210">
        <v>9555</v>
      </c>
    </row>
    <row r="34" spans="2:12">
      <c r="B34" s="200" t="s">
        <v>293</v>
      </c>
      <c r="H34" s="202">
        <v>16721</v>
      </c>
      <c r="J34" s="210">
        <v>17001</v>
      </c>
      <c r="K34" s="210"/>
      <c r="L34" s="210">
        <v>16978</v>
      </c>
    </row>
    <row r="35" spans="2:12">
      <c r="B35" s="200" t="s">
        <v>294</v>
      </c>
      <c r="H35" s="202">
        <v>3930</v>
      </c>
      <c r="J35" s="210">
        <v>3933</v>
      </c>
      <c r="K35" s="210"/>
      <c r="L35" s="210">
        <v>3936</v>
      </c>
    </row>
    <row r="36" spans="2:12">
      <c r="B36" s="200" t="s">
        <v>295</v>
      </c>
      <c r="H36" s="202">
        <v>-290.5</v>
      </c>
      <c r="J36" s="210">
        <v>820</v>
      </c>
      <c r="K36" s="210"/>
      <c r="L36" s="210">
        <v>1520</v>
      </c>
    </row>
    <row r="37" spans="2:12">
      <c r="B37" s="200" t="s">
        <v>296</v>
      </c>
      <c r="H37" s="202"/>
      <c r="J37" s="210"/>
      <c r="K37" s="210"/>
      <c r="L37" s="210">
        <v>0</v>
      </c>
    </row>
    <row r="38" spans="2:12">
      <c r="H38" s="202"/>
      <c r="J38" s="210"/>
      <c r="K38" s="210"/>
      <c r="L38" s="210"/>
    </row>
    <row r="39" spans="2:12" ht="13.5" thickBot="1">
      <c r="H39" s="215">
        <f>SUM(H31:H38)</f>
        <v>403627.93000000005</v>
      </c>
      <c r="J39" s="211">
        <f>SUM(J31:J37)</f>
        <v>30312</v>
      </c>
      <c r="K39" s="210"/>
      <c r="L39" s="211">
        <f>SUM(L31:L37)</f>
        <v>32777</v>
      </c>
    </row>
    <row r="40" spans="2:12" ht="13.5" thickTop="1">
      <c r="J40" s="210"/>
      <c r="K40" s="210"/>
      <c r="L40" s="210"/>
    </row>
    <row r="41" spans="2:12" s="207" customFormat="1">
      <c r="B41" s="207" t="s">
        <v>297</v>
      </c>
      <c r="D41" s="207" t="s">
        <v>265</v>
      </c>
      <c r="J41" s="219"/>
      <c r="K41" s="219"/>
      <c r="L41" s="220"/>
    </row>
    <row r="42" spans="2:12">
      <c r="J42" s="210"/>
      <c r="K42" s="210"/>
      <c r="L42" s="210"/>
    </row>
    <row r="43" spans="2:12">
      <c r="B43" s="200" t="s">
        <v>298</v>
      </c>
      <c r="H43" s="202">
        <v>349688.69</v>
      </c>
      <c r="J43" s="210">
        <v>88987</v>
      </c>
      <c r="K43" s="210"/>
      <c r="L43" s="210">
        <v>48766</v>
      </c>
    </row>
    <row r="44" spans="2:12">
      <c r="B44" s="200" t="s">
        <v>299</v>
      </c>
      <c r="H44" s="202">
        <v>88233.1</v>
      </c>
      <c r="J44" s="210">
        <v>78483</v>
      </c>
      <c r="K44" s="210"/>
      <c r="L44" s="210">
        <f>50751+20779+6953</f>
        <v>78483</v>
      </c>
    </row>
    <row r="45" spans="2:12">
      <c r="B45" s="200" t="s">
        <v>300</v>
      </c>
      <c r="H45" s="202">
        <v>55909</v>
      </c>
      <c r="J45" s="210">
        <v>0</v>
      </c>
      <c r="K45" s="210"/>
      <c r="L45" s="210">
        <v>0</v>
      </c>
    </row>
    <row r="46" spans="2:12">
      <c r="B46" s="200" t="s">
        <v>301</v>
      </c>
      <c r="H46" s="202">
        <v>16084</v>
      </c>
      <c r="J46" s="210">
        <v>0</v>
      </c>
      <c r="K46" s="210"/>
      <c r="L46" s="210">
        <v>0</v>
      </c>
    </row>
    <row r="47" spans="2:12">
      <c r="B47" s="200" t="s">
        <v>302</v>
      </c>
      <c r="H47" s="202">
        <v>54059</v>
      </c>
      <c r="J47" s="210">
        <v>62075</v>
      </c>
      <c r="K47" s="210"/>
      <c r="L47" s="210">
        <v>60883</v>
      </c>
    </row>
    <row r="48" spans="2:12">
      <c r="B48" s="200" t="s">
        <v>303</v>
      </c>
      <c r="H48" s="202">
        <v>64</v>
      </c>
      <c r="J48" s="210">
        <v>64</v>
      </c>
      <c r="K48" s="210"/>
      <c r="L48" s="210"/>
    </row>
    <row r="49" spans="2:12">
      <c r="B49" s="200" t="s">
        <v>304</v>
      </c>
      <c r="H49" s="202">
        <v>26769</v>
      </c>
      <c r="J49" s="210">
        <v>48008</v>
      </c>
      <c r="K49" s="210"/>
      <c r="L49" s="210"/>
    </row>
    <row r="50" spans="2:12">
      <c r="B50" s="200" t="s">
        <v>305</v>
      </c>
      <c r="H50" s="202">
        <v>228512</v>
      </c>
      <c r="J50" s="210"/>
      <c r="K50" s="210"/>
      <c r="L50" s="210"/>
    </row>
    <row r="51" spans="2:12" ht="13.5" thickBot="1">
      <c r="H51" s="215">
        <f>SUM(H43:H50)</f>
        <v>819318.79</v>
      </c>
      <c r="J51" s="211">
        <f>SUM(J43:J50)</f>
        <v>277617</v>
      </c>
      <c r="K51" s="210"/>
      <c r="L51" s="211">
        <f>SUM(L43:L50)</f>
        <v>188132</v>
      </c>
    </row>
    <row r="52" spans="2:12" ht="13.5" thickTop="1">
      <c r="H52" s="216"/>
      <c r="J52" s="217"/>
      <c r="K52" s="210"/>
      <c r="L52" s="217"/>
    </row>
    <row r="53" spans="2:12">
      <c r="B53" s="218" t="s">
        <v>286</v>
      </c>
      <c r="H53" s="216"/>
      <c r="J53" s="217"/>
      <c r="K53" s="210"/>
      <c r="L53" s="217"/>
    </row>
    <row r="54" spans="2:12">
      <c r="B54" s="200" t="s">
        <v>287</v>
      </c>
      <c r="H54" s="216">
        <v>0</v>
      </c>
      <c r="J54" s="217"/>
      <c r="K54" s="210"/>
      <c r="L54" s="217"/>
    </row>
    <row r="55" spans="2:12">
      <c r="B55" s="218"/>
      <c r="H55" s="216"/>
      <c r="J55" s="217"/>
      <c r="K55" s="210"/>
      <c r="L55" s="217"/>
    </row>
    <row r="56" spans="2:12">
      <c r="J56" s="210"/>
      <c r="K56" s="210"/>
      <c r="L56" s="210"/>
    </row>
    <row r="57" spans="2:12" s="207" customFormat="1">
      <c r="B57" s="207" t="s">
        <v>306</v>
      </c>
      <c r="D57" s="207" t="s">
        <v>307</v>
      </c>
      <c r="J57" s="212"/>
      <c r="K57" s="212"/>
      <c r="L57" s="213"/>
    </row>
    <row r="58" spans="2:12">
      <c r="J58" s="210"/>
      <c r="K58" s="210"/>
      <c r="L58" s="210"/>
    </row>
    <row r="59" spans="2:12">
      <c r="B59" s="200" t="s">
        <v>53</v>
      </c>
      <c r="H59" s="202">
        <v>73961.64</v>
      </c>
      <c r="J59" s="210">
        <v>42716</v>
      </c>
      <c r="K59" s="210"/>
      <c r="L59" s="210">
        <v>17792</v>
      </c>
    </row>
    <row r="60" spans="2:12">
      <c r="B60" s="200" t="s">
        <v>308</v>
      </c>
      <c r="H60" s="202">
        <v>2468</v>
      </c>
      <c r="J60" s="210"/>
      <c r="K60" s="210"/>
      <c r="L60" s="210">
        <v>700</v>
      </c>
    </row>
    <row r="61" spans="2:12">
      <c r="B61" s="200" t="s">
        <v>309</v>
      </c>
      <c r="H61" s="202">
        <v>18371</v>
      </c>
      <c r="J61" s="210">
        <v>10984</v>
      </c>
      <c r="K61" s="210"/>
      <c r="L61" s="210">
        <v>4723</v>
      </c>
    </row>
    <row r="62" spans="2:12">
      <c r="B62" s="200" t="s">
        <v>55</v>
      </c>
      <c r="H62" s="202">
        <v>69950</v>
      </c>
      <c r="J62" s="210">
        <v>28406</v>
      </c>
      <c r="K62" s="210"/>
      <c r="L62" s="210">
        <v>8925</v>
      </c>
    </row>
    <row r="63" spans="2:12">
      <c r="B63" s="200" t="s">
        <v>310</v>
      </c>
      <c r="H63" s="202">
        <v>5533.81</v>
      </c>
      <c r="J63" s="210">
        <v>4655</v>
      </c>
      <c r="K63" s="210"/>
      <c r="L63" s="210">
        <v>4450</v>
      </c>
    </row>
    <row r="64" spans="2:12">
      <c r="H64" s="202"/>
      <c r="J64" s="210"/>
      <c r="K64" s="210"/>
      <c r="L64" s="210"/>
    </row>
    <row r="65" spans="2:15" ht="13.5" thickBot="1">
      <c r="H65" s="215">
        <f>SUM(H59:H64)</f>
        <v>170284.45</v>
      </c>
      <c r="J65" s="211">
        <f>SUM(J59:J64)</f>
        <v>86761</v>
      </c>
      <c r="K65" s="210"/>
      <c r="L65" s="211">
        <f>SUM(L59:L64)</f>
        <v>36590</v>
      </c>
    </row>
    <row r="66" spans="2:15" ht="13.5" thickTop="1">
      <c r="J66" s="210"/>
      <c r="K66" s="210"/>
      <c r="L66" s="210"/>
    </row>
    <row r="67" spans="2:15">
      <c r="B67" s="207" t="s">
        <v>311</v>
      </c>
      <c r="C67" s="207"/>
      <c r="D67" s="207" t="s">
        <v>312</v>
      </c>
      <c r="E67" s="207"/>
      <c r="J67" s="209"/>
      <c r="K67" s="209"/>
      <c r="L67" s="209"/>
    </row>
    <row r="68" spans="2:15">
      <c r="J68" s="209"/>
      <c r="K68" s="209"/>
      <c r="L68" s="209"/>
    </row>
    <row r="69" spans="2:15">
      <c r="D69" s="204" t="s">
        <v>313</v>
      </c>
      <c r="E69" s="204" t="s">
        <v>314</v>
      </c>
      <c r="F69" s="204" t="s">
        <v>110</v>
      </c>
      <c r="G69" s="204" t="s">
        <v>315</v>
      </c>
      <c r="H69" s="221" t="s">
        <v>109</v>
      </c>
      <c r="I69" s="221" t="s">
        <v>316</v>
      </c>
      <c r="J69" s="221" t="s">
        <v>5</v>
      </c>
    </row>
    <row r="70" spans="2:15">
      <c r="E70" s="204" t="s">
        <v>317</v>
      </c>
      <c r="H70" s="210"/>
      <c r="I70" s="221" t="s">
        <v>117</v>
      </c>
      <c r="J70" s="210"/>
    </row>
    <row r="71" spans="2:15">
      <c r="B71" s="222" t="s">
        <v>318</v>
      </c>
      <c r="H71" s="210"/>
      <c r="I71" s="210"/>
      <c r="J71" s="210"/>
    </row>
    <row r="72" spans="2:15">
      <c r="B72" s="200" t="s">
        <v>319</v>
      </c>
      <c r="D72" s="202">
        <f>+'[1]Depn. 2000'!F263</f>
        <v>130529.58</v>
      </c>
      <c r="E72" s="202">
        <f>+'[1]Depn. 2000'!F264</f>
        <v>183042</v>
      </c>
      <c r="F72" s="202">
        <f>+'[1]Depn. 2000'!F265</f>
        <v>293094</v>
      </c>
      <c r="G72" s="202">
        <f>+'[1]Depn. 2000'!F266+'[1]Depn. 2000'!F267+'[1]Depn. 2000'!F268+'[1]Depn. 2000'!F269+'[1]Depn. 2000'!F270</f>
        <v>105376</v>
      </c>
      <c r="H72" s="210">
        <f>+'[1]Depn. 2000'!F273</f>
        <v>35870</v>
      </c>
      <c r="I72" s="210">
        <f>+'[1]Depn. 2000'!F271+'[1]Depn. 2000'!F272</f>
        <v>44718.73</v>
      </c>
      <c r="J72" s="210">
        <f>SUM(D72:I72)</f>
        <v>792630.31</v>
      </c>
    </row>
    <row r="73" spans="2:15">
      <c r="B73" s="200" t="s">
        <v>320</v>
      </c>
      <c r="D73" s="202">
        <f>+'[1]Depn. 2000'!G263</f>
        <v>1350</v>
      </c>
      <c r="E73" s="202">
        <f>+'[1]Depn. 2000'!G264</f>
        <v>128000</v>
      </c>
      <c r="F73" s="202">
        <f>+'[1]Depn. 2000'!G265</f>
        <v>205944.77</v>
      </c>
      <c r="G73" s="202">
        <f>SUM('[1]Depn. 2000'!G266:G270)</f>
        <v>54711</v>
      </c>
      <c r="H73" s="223">
        <f>+'[1]Depn. 2000'!G273</f>
        <v>0</v>
      </c>
      <c r="I73" s="210">
        <f>+'[1]Depn. 2000'!G271+'[1]Depn. 2000'!G272</f>
        <v>4248</v>
      </c>
      <c r="J73" s="224">
        <f>SUM(D73:I73)</f>
        <v>394253.77</v>
      </c>
    </row>
    <row r="74" spans="2:15">
      <c r="B74" s="200" t="s">
        <v>321</v>
      </c>
      <c r="D74" s="202">
        <f>+'[1]Depn. 2000'!H263</f>
        <v>0</v>
      </c>
      <c r="E74" s="202">
        <f>+'[1]Depn. 2000'!H264</f>
        <v>0</v>
      </c>
      <c r="F74" s="202">
        <f>+'[1]Depn. 2000'!H265</f>
        <v>-11330</v>
      </c>
      <c r="G74" s="225">
        <f>SUM('[1]Depn. 2000'!H266:H270)</f>
        <v>0</v>
      </c>
      <c r="H74" s="223">
        <f>+'[1]Depn. 2000'!H273</f>
        <v>0</v>
      </c>
      <c r="I74" s="223">
        <f>+'[1]Depn. 2000'!H271+'[1]Depn. 2000'!H272</f>
        <v>0</v>
      </c>
      <c r="J74" s="225">
        <f>SUM(D74:I74)</f>
        <v>-11330</v>
      </c>
    </row>
    <row r="75" spans="2:15">
      <c r="D75" s="202"/>
      <c r="E75" s="202"/>
      <c r="F75" s="202"/>
      <c r="G75" s="202"/>
      <c r="H75" s="210"/>
      <c r="I75" s="210"/>
      <c r="J75" s="210"/>
    </row>
    <row r="76" spans="2:15">
      <c r="B76" s="201" t="s">
        <v>322</v>
      </c>
      <c r="C76" s="201"/>
      <c r="D76" s="226">
        <f t="shared" ref="D76:J76" si="0">SUM(D72:D75)</f>
        <v>131879.58000000002</v>
      </c>
      <c r="E76" s="226">
        <f t="shared" si="0"/>
        <v>311042</v>
      </c>
      <c r="F76" s="226">
        <f t="shared" si="0"/>
        <v>487708.77</v>
      </c>
      <c r="G76" s="226">
        <f t="shared" si="0"/>
        <v>160087</v>
      </c>
      <c r="H76" s="227">
        <f t="shared" si="0"/>
        <v>35870</v>
      </c>
      <c r="I76" s="227">
        <f t="shared" si="0"/>
        <v>48966.73</v>
      </c>
      <c r="J76" s="227">
        <f t="shared" si="0"/>
        <v>1175554.08</v>
      </c>
    </row>
    <row r="77" spans="2:15">
      <c r="D77" s="202"/>
      <c r="E77" s="202"/>
      <c r="F77" s="202"/>
      <c r="G77" s="202"/>
      <c r="H77" s="210"/>
      <c r="I77" s="210"/>
      <c r="J77" s="210"/>
    </row>
    <row r="78" spans="2:15">
      <c r="B78" s="222" t="s">
        <v>23</v>
      </c>
      <c r="D78" s="202"/>
      <c r="E78" s="202"/>
      <c r="F78" s="202"/>
      <c r="G78" s="202"/>
      <c r="H78" s="210"/>
      <c r="I78" s="210"/>
      <c r="J78" s="210"/>
    </row>
    <row r="79" spans="2:15">
      <c r="B79" s="200" t="s">
        <v>319</v>
      </c>
      <c r="D79" s="202">
        <f>+'[1]Depn. 2000'!J263</f>
        <v>47551.056000000011</v>
      </c>
      <c r="E79" s="202">
        <f>+'[1]Depn. 2000'!J264</f>
        <v>183042</v>
      </c>
      <c r="F79" s="202">
        <f>+'[1]Depn. 2000'!J265</f>
        <v>187000.81250000003</v>
      </c>
      <c r="G79" s="202">
        <f>SUM('[1]Depn. 2000'!J266:J270)</f>
        <v>54383.983333333337</v>
      </c>
      <c r="H79" s="210">
        <f>+'[1]Depn. 2000'!J273</f>
        <v>24212.246666666666</v>
      </c>
      <c r="I79" s="210">
        <f>+'[1]Depn. 2000'!J271+'[1]Depn. 2000'!J272</f>
        <v>44718.73</v>
      </c>
      <c r="J79" s="210">
        <f>SUM(D79:I79)</f>
        <v>540908.82850000006</v>
      </c>
      <c r="O79" s="228"/>
    </row>
    <row r="80" spans="2:15">
      <c r="B80" s="200" t="s">
        <v>323</v>
      </c>
      <c r="D80" s="202">
        <f>+'[1]2000'!O221+'[1]2000'!O222</f>
        <v>19764</v>
      </c>
      <c r="E80" s="202">
        <f>+'[1]2000'!O223</f>
        <v>39483</v>
      </c>
      <c r="F80" s="202">
        <f>+'[1]2000'!O224</f>
        <v>112576</v>
      </c>
      <c r="G80" s="202">
        <f>+SUM('[1]2000'!O225:O229)</f>
        <v>31005</v>
      </c>
      <c r="H80" s="210">
        <f>+'[1]2000'!O230</f>
        <v>7176</v>
      </c>
      <c r="I80" s="202">
        <f>+SUM('[1]2000'!O231:O232)</f>
        <v>4247.5</v>
      </c>
      <c r="J80" s="210">
        <f>SUM(D80:I80)</f>
        <v>214251.5</v>
      </c>
    </row>
    <row r="81" spans="2:12">
      <c r="B81" s="200" t="s">
        <v>321</v>
      </c>
      <c r="D81" s="202">
        <f>+'[1]Depn. 2000'!L263</f>
        <v>0</v>
      </c>
      <c r="E81" s="202">
        <f>+'[1]Depn. 2000'!L264</f>
        <v>0</v>
      </c>
      <c r="F81" s="229">
        <f>+'[1]Depn. 2000'!L265</f>
        <v>-8497</v>
      </c>
      <c r="G81" s="202">
        <f>SUM('[1]Depn. 2000'!L266:L270)</f>
        <v>0</v>
      </c>
      <c r="H81" s="223">
        <f>+'[1]Depn. 2000'!L273</f>
        <v>0</v>
      </c>
      <c r="I81" s="223">
        <f>+'[1]Depn. 2000'!L271+'[1]Depn. 2000'!L272</f>
        <v>0</v>
      </c>
      <c r="J81" s="225">
        <f>SUM(D81:I81)</f>
        <v>-8497</v>
      </c>
    </row>
    <row r="82" spans="2:12">
      <c r="D82" s="202"/>
      <c r="E82" s="202"/>
      <c r="F82" s="202"/>
      <c r="G82" s="202"/>
      <c r="H82" s="210"/>
      <c r="I82" s="210"/>
      <c r="J82" s="210"/>
    </row>
    <row r="83" spans="2:12">
      <c r="B83" s="201" t="str">
        <f>B76</f>
        <v>As at 31/12/2000</v>
      </c>
      <c r="C83" s="201"/>
      <c r="D83" s="226">
        <f t="shared" ref="D83:J83" si="1">SUM(D79:D82)</f>
        <v>67315.056000000011</v>
      </c>
      <c r="E83" s="226">
        <f t="shared" si="1"/>
        <v>222525</v>
      </c>
      <c r="F83" s="226">
        <f t="shared" si="1"/>
        <v>291079.8125</v>
      </c>
      <c r="G83" s="226">
        <f t="shared" si="1"/>
        <v>85388.983333333337</v>
      </c>
      <c r="H83" s="227">
        <f t="shared" si="1"/>
        <v>31388.246666666666</v>
      </c>
      <c r="I83" s="227">
        <f t="shared" si="1"/>
        <v>48966.23</v>
      </c>
      <c r="J83" s="227">
        <f t="shared" si="1"/>
        <v>746663.32850000006</v>
      </c>
    </row>
    <row r="84" spans="2:12">
      <c r="D84" s="202"/>
      <c r="E84" s="202"/>
      <c r="F84" s="202"/>
      <c r="G84" s="202"/>
      <c r="H84" s="210"/>
      <c r="I84" s="210"/>
      <c r="J84" s="210"/>
    </row>
    <row r="85" spans="2:12">
      <c r="B85" s="218" t="s">
        <v>324</v>
      </c>
      <c r="D85" s="202"/>
      <c r="E85" s="202"/>
      <c r="F85" s="202"/>
      <c r="G85" s="202"/>
      <c r="H85" s="210"/>
      <c r="I85" s="210"/>
      <c r="J85" s="210"/>
    </row>
    <row r="86" spans="2:12">
      <c r="D86" s="202"/>
      <c r="E86" s="202"/>
      <c r="F86" s="202"/>
      <c r="G86" s="202"/>
      <c r="H86" s="210"/>
      <c r="I86" s="210"/>
      <c r="J86" s="210"/>
    </row>
    <row r="87" spans="2:12" ht="13.5" thickBot="1">
      <c r="B87" s="201" t="str">
        <f>B83</f>
        <v>As at 31/12/2000</v>
      </c>
      <c r="C87" s="201"/>
      <c r="D87" s="230">
        <f t="shared" ref="D87:J87" si="2">D76-D83</f>
        <v>64564.524000000005</v>
      </c>
      <c r="E87" s="231">
        <f t="shared" si="2"/>
        <v>88517</v>
      </c>
      <c r="F87" s="230">
        <f t="shared" si="2"/>
        <v>196628.95750000002</v>
      </c>
      <c r="G87" s="230">
        <f t="shared" si="2"/>
        <v>74698.016666666663</v>
      </c>
      <c r="H87" s="231">
        <f t="shared" si="2"/>
        <v>4481.753333333334</v>
      </c>
      <c r="I87" s="232">
        <f t="shared" si="2"/>
        <v>0.5</v>
      </c>
      <c r="J87" s="231">
        <f t="shared" si="2"/>
        <v>428890.75150000001</v>
      </c>
    </row>
    <row r="88" spans="2:12" ht="13.5" thickTop="1">
      <c r="B88" s="201"/>
      <c r="C88" s="201"/>
      <c r="D88" s="203"/>
      <c r="E88" s="203"/>
      <c r="F88" s="203"/>
      <c r="G88" s="203"/>
      <c r="H88" s="233"/>
      <c r="I88" s="234"/>
      <c r="J88" s="233"/>
    </row>
    <row r="89" spans="2:12" ht="13.5" thickBot="1">
      <c r="B89" s="201" t="s">
        <v>325</v>
      </c>
      <c r="C89" s="201"/>
      <c r="D89" s="230">
        <f t="shared" ref="D89:J89" si="3">D72-D79</f>
        <v>82978.52399999999</v>
      </c>
      <c r="E89" s="230">
        <f t="shared" si="3"/>
        <v>0</v>
      </c>
      <c r="F89" s="230">
        <f t="shared" si="3"/>
        <v>106093.18749999997</v>
      </c>
      <c r="G89" s="230">
        <f t="shared" si="3"/>
        <v>50992.016666666663</v>
      </c>
      <c r="H89" s="231" t="s">
        <v>326</v>
      </c>
      <c r="I89" s="232">
        <f t="shared" si="3"/>
        <v>0</v>
      </c>
      <c r="J89" s="231">
        <f t="shared" si="3"/>
        <v>251721.48149999999</v>
      </c>
    </row>
    <row r="90" spans="2:12" ht="13.5" thickTop="1">
      <c r="J90" s="210"/>
      <c r="K90" s="210"/>
      <c r="L90" s="210"/>
    </row>
    <row r="91" spans="2:12" s="207" customFormat="1">
      <c r="B91" s="207" t="s">
        <v>327</v>
      </c>
      <c r="D91" s="207" t="s">
        <v>328</v>
      </c>
      <c r="H91" s="235">
        <v>2000</v>
      </c>
      <c r="J91" s="236">
        <v>1999</v>
      </c>
      <c r="K91" s="237"/>
      <c r="L91" s="238">
        <v>1998</v>
      </c>
    </row>
    <row r="92" spans="2:12">
      <c r="J92" s="210"/>
      <c r="K92" s="210"/>
      <c r="L92" s="209"/>
    </row>
    <row r="93" spans="2:12">
      <c r="B93" s="222" t="s">
        <v>318</v>
      </c>
      <c r="J93" s="210"/>
      <c r="K93" s="210"/>
      <c r="L93" s="209"/>
    </row>
    <row r="94" spans="2:12" ht="13.5" thickBot="1">
      <c r="B94" s="200" t="s">
        <v>329</v>
      </c>
      <c r="H94" s="239">
        <v>789599</v>
      </c>
      <c r="J94" s="239">
        <v>789599</v>
      </c>
      <c r="K94" s="210"/>
      <c r="L94" s="239">
        <v>789599</v>
      </c>
    </row>
    <row r="95" spans="2:12" ht="13.5" thickTop="1">
      <c r="J95" s="210"/>
      <c r="K95" s="210"/>
      <c r="L95" s="209"/>
    </row>
    <row r="96" spans="2:12">
      <c r="B96" s="222" t="s">
        <v>24</v>
      </c>
      <c r="J96" s="210"/>
      <c r="K96" s="210"/>
      <c r="L96" s="209"/>
    </row>
    <row r="97" spans="2:12">
      <c r="B97" s="200" t="s">
        <v>330</v>
      </c>
      <c r="H97" s="202">
        <v>680450</v>
      </c>
      <c r="J97" s="210">
        <v>417050</v>
      </c>
      <c r="K97" s="210"/>
      <c r="L97" s="210">
        <v>153650</v>
      </c>
    </row>
    <row r="98" spans="2:12">
      <c r="B98" s="200" t="s">
        <v>331</v>
      </c>
      <c r="H98" s="210">
        <v>109149</v>
      </c>
      <c r="J98" s="210">
        <f>21950*12</f>
        <v>263400</v>
      </c>
      <c r="K98" s="210"/>
      <c r="L98" s="210">
        <v>263400</v>
      </c>
    </row>
    <row r="99" spans="2:12">
      <c r="B99" s="200" t="s">
        <v>332</v>
      </c>
      <c r="H99" s="240">
        <f>SUM(H97:H98)</f>
        <v>789599</v>
      </c>
      <c r="J99" s="240">
        <f>SUM(J97:J98)</f>
        <v>680450</v>
      </c>
      <c r="K99" s="210"/>
      <c r="L99" s="240">
        <f>SUM(L97:L98)</f>
        <v>417050</v>
      </c>
    </row>
    <row r="100" spans="2:12">
      <c r="J100" s="210"/>
      <c r="K100" s="210"/>
      <c r="L100" s="209"/>
    </row>
    <row r="101" spans="2:12" ht="13.5" thickBot="1">
      <c r="B101" s="200" t="s">
        <v>333</v>
      </c>
      <c r="H101" s="239">
        <f>H94-H99</f>
        <v>0</v>
      </c>
      <c r="J101" s="239">
        <f>J94-J99</f>
        <v>109149</v>
      </c>
      <c r="K101" s="210"/>
      <c r="L101" s="241">
        <f>L94-L99</f>
        <v>372549</v>
      </c>
    </row>
    <row r="102" spans="2:12" ht="13.5" thickTop="1">
      <c r="J102" s="210"/>
      <c r="K102" s="210"/>
      <c r="L102" s="209"/>
    </row>
    <row r="103" spans="2:12" s="207" customFormat="1">
      <c r="B103" s="207" t="s">
        <v>334</v>
      </c>
      <c r="D103" s="207" t="s">
        <v>121</v>
      </c>
      <c r="J103" s="236"/>
      <c r="K103" s="237"/>
      <c r="L103" s="238"/>
    </row>
    <row r="104" spans="2:12">
      <c r="J104" s="210"/>
      <c r="K104" s="210"/>
      <c r="L104" s="209"/>
    </row>
    <row r="105" spans="2:12">
      <c r="B105" s="222" t="s">
        <v>318</v>
      </c>
      <c r="J105" s="210"/>
      <c r="K105" s="210"/>
      <c r="L105" s="209"/>
    </row>
    <row r="106" spans="2:12" ht="13.5" thickBot="1">
      <c r="B106" s="200" t="s">
        <v>329</v>
      </c>
      <c r="H106" s="239">
        <v>128485</v>
      </c>
      <c r="J106" s="239">
        <v>128485</v>
      </c>
      <c r="K106" s="210"/>
      <c r="L106" s="239">
        <v>128485</v>
      </c>
    </row>
    <row r="107" spans="2:12" ht="13.5" thickTop="1">
      <c r="J107" s="210"/>
      <c r="K107" s="210"/>
      <c r="L107" s="209"/>
    </row>
    <row r="108" spans="2:12">
      <c r="B108" s="222" t="s">
        <v>24</v>
      </c>
      <c r="J108" s="210"/>
      <c r="K108" s="210"/>
      <c r="L108" s="209"/>
    </row>
    <row r="109" spans="2:12">
      <c r="B109" s="200" t="s">
        <v>330</v>
      </c>
      <c r="H109" s="202">
        <v>47430</v>
      </c>
      <c r="J109" s="210">
        <v>29070</v>
      </c>
      <c r="K109" s="210"/>
      <c r="L109" s="210">
        <v>10710</v>
      </c>
    </row>
    <row r="110" spans="2:12">
      <c r="B110" s="200" t="s">
        <v>331</v>
      </c>
      <c r="H110" s="202">
        <f>1530*12</f>
        <v>18360</v>
      </c>
      <c r="J110" s="210">
        <f>1530*12</f>
        <v>18360</v>
      </c>
      <c r="K110" s="210"/>
      <c r="L110" s="210">
        <v>18360</v>
      </c>
    </row>
    <row r="111" spans="2:12">
      <c r="B111" s="200" t="s">
        <v>332</v>
      </c>
      <c r="H111" s="240">
        <f>SUM(H109:H110)</f>
        <v>65790</v>
      </c>
      <c r="J111" s="240">
        <f>SUM(J109:J110)</f>
        <v>47430</v>
      </c>
      <c r="K111" s="210"/>
      <c r="L111" s="240">
        <f>SUM(L109:L110)</f>
        <v>29070</v>
      </c>
    </row>
    <row r="112" spans="2:12">
      <c r="J112" s="210"/>
      <c r="K112" s="210"/>
      <c r="L112" s="209"/>
    </row>
    <row r="113" spans="2:12" ht="13.5" thickBot="1">
      <c r="B113" s="200" t="s">
        <v>333</v>
      </c>
      <c r="H113" s="239">
        <f>H106-H111</f>
        <v>62695</v>
      </c>
      <c r="J113" s="239">
        <f>J106-J111</f>
        <v>81055</v>
      </c>
      <c r="K113" s="210"/>
      <c r="L113" s="241">
        <f>L106-L111</f>
        <v>99415</v>
      </c>
    </row>
    <row r="114" spans="2:12" ht="13.5" thickTop="1">
      <c r="J114" s="210"/>
      <c r="K114" s="210"/>
      <c r="L114" s="209"/>
    </row>
    <row r="115" spans="2:12">
      <c r="B115" s="207" t="s">
        <v>335</v>
      </c>
      <c r="C115" s="207"/>
      <c r="D115" s="207" t="s">
        <v>336</v>
      </c>
      <c r="E115" s="207"/>
      <c r="F115" s="207"/>
      <c r="G115" s="207"/>
      <c r="H115" s="207"/>
      <c r="J115" s="242"/>
      <c r="K115" s="242"/>
      <c r="L115" s="243"/>
    </row>
    <row r="116" spans="2:12">
      <c r="J116" s="210"/>
      <c r="K116" s="210"/>
      <c r="L116" s="209"/>
    </row>
    <row r="117" spans="2:12">
      <c r="B117" s="200" t="s">
        <v>330</v>
      </c>
      <c r="H117" s="209">
        <f>+J120</f>
        <v>3014635.39</v>
      </c>
      <c r="J117" s="210">
        <f>L120</f>
        <v>2364683</v>
      </c>
      <c r="K117" s="210"/>
      <c r="L117" s="202">
        <v>1274940</v>
      </c>
    </row>
    <row r="118" spans="2:12">
      <c r="B118" s="200" t="s">
        <v>337</v>
      </c>
      <c r="H118" s="209">
        <f>-'[1]2000'!O244</f>
        <v>158733.26999999996</v>
      </c>
      <c r="J118" s="210">
        <f>-'[1]1999'!O244</f>
        <v>649952.39</v>
      </c>
      <c r="K118" s="210"/>
      <c r="L118" s="209">
        <v>1089740</v>
      </c>
    </row>
    <row r="119" spans="2:12">
      <c r="J119" s="210"/>
      <c r="K119" s="210"/>
      <c r="L119" s="209"/>
    </row>
    <row r="120" spans="2:12" ht="13.5" thickBot="1">
      <c r="H120" s="211">
        <f>SUM(H117:H119)</f>
        <v>3173368.66</v>
      </c>
      <c r="J120" s="211">
        <f>SUM(J117:J119)</f>
        <v>3014635.39</v>
      </c>
      <c r="K120" s="210"/>
      <c r="L120" s="244">
        <f>SUM(L117:L119)+3</f>
        <v>2364683</v>
      </c>
    </row>
    <row r="121" spans="2:12" ht="13.5" thickTop="1">
      <c r="J121" s="210"/>
      <c r="K121" s="210"/>
      <c r="L121" s="209"/>
    </row>
    <row r="122" spans="2:12" s="207" customFormat="1">
      <c r="B122" s="207" t="s">
        <v>338</v>
      </c>
      <c r="D122" s="207" t="s">
        <v>339</v>
      </c>
      <c r="H122" s="235">
        <v>2000</v>
      </c>
      <c r="J122" s="236">
        <v>1999</v>
      </c>
      <c r="K122" s="237"/>
      <c r="L122" s="238">
        <v>1998</v>
      </c>
    </row>
    <row r="123" spans="2:12">
      <c r="J123" s="210"/>
      <c r="K123" s="210"/>
      <c r="L123" s="209"/>
    </row>
    <row r="124" spans="2:12">
      <c r="B124" s="200" t="s">
        <v>340</v>
      </c>
      <c r="H124" s="210">
        <v>150000</v>
      </c>
      <c r="J124" s="210">
        <v>150000</v>
      </c>
      <c r="K124" s="210"/>
      <c r="L124" s="210">
        <v>150000</v>
      </c>
    </row>
    <row r="125" spans="2:12">
      <c r="B125" s="200" t="s">
        <v>341</v>
      </c>
      <c r="H125" s="210">
        <v>150000</v>
      </c>
      <c r="J125" s="210">
        <v>150000</v>
      </c>
      <c r="K125" s="210"/>
      <c r="L125" s="210">
        <v>150000</v>
      </c>
    </row>
    <row r="126" spans="2:12">
      <c r="H126" s="210"/>
      <c r="J126" s="210"/>
      <c r="K126" s="210"/>
      <c r="L126" s="210"/>
    </row>
    <row r="127" spans="2:12" ht="13.5" thickBot="1">
      <c r="H127" s="211">
        <f>SUM(H124:H126)</f>
        <v>300000</v>
      </c>
      <c r="J127" s="211">
        <f>SUM(J124:J126)</f>
        <v>300000</v>
      </c>
      <c r="K127" s="210"/>
      <c r="L127" s="211">
        <f>SUM(L124:L126)</f>
        <v>300000</v>
      </c>
    </row>
    <row r="128" spans="2:12" ht="13.5" thickTop="1">
      <c r="J128" s="210"/>
      <c r="K128" s="210"/>
      <c r="L128" s="209"/>
    </row>
    <row r="129" spans="2:12" s="207" customFormat="1">
      <c r="B129" s="207" t="s">
        <v>342</v>
      </c>
      <c r="D129" s="207" t="s">
        <v>343</v>
      </c>
      <c r="J129" s="236"/>
      <c r="K129" s="237"/>
      <c r="L129" s="238"/>
    </row>
    <row r="130" spans="2:12">
      <c r="J130" s="210"/>
      <c r="K130" s="210"/>
      <c r="L130" s="209"/>
    </row>
    <row r="131" spans="2:12">
      <c r="B131" s="200" t="s">
        <v>344</v>
      </c>
      <c r="H131" s="202">
        <v>3479480.35</v>
      </c>
      <c r="J131" s="210">
        <v>2458542</v>
      </c>
      <c r="K131" s="210"/>
      <c r="L131" s="210">
        <v>2050260</v>
      </c>
    </row>
    <row r="132" spans="2:12">
      <c r="J132" s="210"/>
      <c r="K132" s="210"/>
      <c r="L132" s="210"/>
    </row>
    <row r="133" spans="2:12" ht="13.5" thickBot="1">
      <c r="H133" s="211">
        <f>SUM(H131:H132)</f>
        <v>3479480.35</v>
      </c>
      <c r="J133" s="211">
        <f>SUM(J131:J132)</f>
        <v>2458542</v>
      </c>
      <c r="K133" s="210"/>
      <c r="L133" s="211">
        <f>SUM(L131:L132)</f>
        <v>2050260</v>
      </c>
    </row>
    <row r="134" spans="2:12" ht="13.5" thickTop="1">
      <c r="J134" s="210"/>
      <c r="K134" s="210"/>
      <c r="L134" s="209"/>
    </row>
    <row r="135" spans="2:12" s="207" customFormat="1">
      <c r="B135" s="207" t="s">
        <v>345</v>
      </c>
      <c r="D135" s="207" t="s">
        <v>47</v>
      </c>
      <c r="F135" s="245" t="s">
        <v>346</v>
      </c>
      <c r="H135" s="235">
        <v>2000</v>
      </c>
      <c r="I135" s="617">
        <v>1999</v>
      </c>
      <c r="J135" s="617"/>
      <c r="K135" s="213"/>
      <c r="L135" s="238">
        <v>1998</v>
      </c>
    </row>
    <row r="136" spans="2:12">
      <c r="F136" s="246"/>
      <c r="J136" s="210"/>
      <c r="K136" s="210"/>
      <c r="L136" s="209"/>
    </row>
    <row r="137" spans="2:12">
      <c r="B137" s="247" t="s">
        <v>347</v>
      </c>
      <c r="F137" s="216">
        <f>+[1]budget!N67</f>
        <v>123406</v>
      </c>
      <c r="H137" s="209">
        <f>+'[1]2000'!N67</f>
        <v>28291</v>
      </c>
      <c r="J137" s="202">
        <f>'[1]1999'!O67</f>
        <v>673774.67</v>
      </c>
      <c r="K137" s="210"/>
      <c r="L137" s="209">
        <v>530442</v>
      </c>
    </row>
    <row r="138" spans="2:12">
      <c r="B138" s="200" t="s">
        <v>348</v>
      </c>
      <c r="F138" s="216">
        <f>+[1]budget!N81</f>
        <v>112805</v>
      </c>
      <c r="H138" s="209">
        <f>+'[1]2000'!N81</f>
        <v>149110</v>
      </c>
      <c r="I138" s="202"/>
      <c r="J138" s="202">
        <f>'[1]1999'!O81</f>
        <v>1312366.5</v>
      </c>
      <c r="K138" s="210"/>
      <c r="L138" s="209">
        <v>670889</v>
      </c>
    </row>
    <row r="139" spans="2:12">
      <c r="B139" s="200" t="s">
        <v>349</v>
      </c>
      <c r="F139" s="216">
        <f>+[1]budget!N89+[1]budget!N102+[1]budget!N111</f>
        <v>0</v>
      </c>
      <c r="H139" s="209">
        <f>+'[1]2000'!N89+'[1]2000'!N102+'[1]2000'!N111</f>
        <v>142108.77000000002</v>
      </c>
      <c r="I139" s="202"/>
      <c r="J139" s="202">
        <f>'[1]1999'!O102+'[1]1999'!O111+'[1]1999'!O89</f>
        <v>336358.75</v>
      </c>
      <c r="K139" s="210"/>
      <c r="L139" s="209">
        <v>126887</v>
      </c>
    </row>
    <row r="140" spans="2:12">
      <c r="F140" s="246"/>
      <c r="I140" s="202"/>
      <c r="J140" s="210"/>
      <c r="K140" s="210"/>
      <c r="L140" s="210"/>
    </row>
    <row r="141" spans="2:12" ht="13.5" thickBot="1">
      <c r="F141" s="248">
        <f>SUM(F137:F140)</f>
        <v>236211</v>
      </c>
      <c r="H141" s="248">
        <f>SUM(H137:H140)</f>
        <v>319509.77</v>
      </c>
      <c r="I141" s="203"/>
      <c r="J141" s="248">
        <f>SUM(J137:J140)</f>
        <v>2322499.92</v>
      </c>
      <c r="K141" s="210"/>
      <c r="L141" s="248">
        <f>SUM(L137:L140)</f>
        <v>1328218</v>
      </c>
    </row>
    <row r="142" spans="2:12" ht="13.5" thickTop="1">
      <c r="F142" s="249"/>
      <c r="H142" s="249"/>
      <c r="I142" s="203"/>
      <c r="J142" s="249"/>
      <c r="K142" s="210"/>
      <c r="L142" s="249"/>
    </row>
    <row r="143" spans="2:12">
      <c r="B143" s="218" t="s">
        <v>350</v>
      </c>
      <c r="F143" s="249"/>
      <c r="H143" s="249"/>
      <c r="I143" s="203"/>
      <c r="J143" s="249"/>
      <c r="K143" s="210"/>
      <c r="L143" s="249"/>
    </row>
    <row r="144" spans="2:12">
      <c r="B144" s="200" t="s">
        <v>287</v>
      </c>
      <c r="F144" s="249"/>
      <c r="H144" s="249">
        <v>26460</v>
      </c>
      <c r="I144" s="203"/>
      <c r="J144" s="249"/>
      <c r="K144" s="210"/>
      <c r="L144" s="249"/>
    </row>
    <row r="145" spans="2:12">
      <c r="F145" s="246"/>
      <c r="G145" s="246"/>
      <c r="H145" s="246"/>
      <c r="J145" s="210"/>
      <c r="K145" s="210"/>
      <c r="L145" s="217"/>
    </row>
    <row r="146" spans="2:12" s="207" customFormat="1">
      <c r="B146" s="207" t="s">
        <v>351</v>
      </c>
      <c r="D146" s="208" t="s">
        <v>352</v>
      </c>
      <c r="F146" s="250"/>
      <c r="G146" s="250"/>
      <c r="H146" s="250"/>
    </row>
    <row r="147" spans="2:12">
      <c r="F147" s="246"/>
      <c r="G147" s="246"/>
      <c r="H147" s="246"/>
      <c r="J147" s="210"/>
      <c r="K147" s="210"/>
      <c r="L147" s="217"/>
    </row>
    <row r="148" spans="2:12">
      <c r="B148" s="246" t="s">
        <v>353</v>
      </c>
      <c r="F148" s="216">
        <f>SUM([1]budget!N116:N118)</f>
        <v>13920</v>
      </c>
      <c r="G148" s="216"/>
      <c r="H148" s="216">
        <f>SUM('[1]2000'!N116:N118)</f>
        <v>5711.29</v>
      </c>
      <c r="J148" s="210">
        <f>SUM('[1]1999'!O116:O118)</f>
        <v>121111.58</v>
      </c>
      <c r="K148" s="210"/>
      <c r="L148" s="217">
        <v>76820</v>
      </c>
    </row>
    <row r="149" spans="2:12">
      <c r="B149" s="246" t="s">
        <v>348</v>
      </c>
      <c r="F149" s="216">
        <f>SUM([1]budget!N119:N122)</f>
        <v>12000</v>
      </c>
      <c r="G149" s="216"/>
      <c r="H149" s="216">
        <f>SUM('[1]2000'!N119:N122)</f>
        <v>35222.369999999995</v>
      </c>
      <c r="J149" s="210">
        <f>SUM('[1]1999'!O119:O122)</f>
        <v>194080.19</v>
      </c>
      <c r="K149" s="210"/>
      <c r="L149" s="217">
        <f>94011+4948+10800</f>
        <v>109759</v>
      </c>
    </row>
    <row r="150" spans="2:12">
      <c r="B150" s="246" t="s">
        <v>354</v>
      </c>
      <c r="F150" s="216">
        <f>SUM([1]budget!N123:N125)</f>
        <v>8851</v>
      </c>
      <c r="G150" s="216"/>
      <c r="H150" s="216">
        <f>SUM('[1]2000'!N123:N125)</f>
        <v>27651.480000000003</v>
      </c>
      <c r="J150" s="210">
        <f>SUM('[1]1999'!O123:O125)</f>
        <v>95397.1</v>
      </c>
      <c r="K150" s="210"/>
      <c r="L150" s="217">
        <v>26744</v>
      </c>
    </row>
    <row r="151" spans="2:12">
      <c r="B151" s="246" t="s">
        <v>355</v>
      </c>
      <c r="F151" s="216">
        <f>SUM([1]budget!N126:N128)</f>
        <v>6454</v>
      </c>
      <c r="G151" s="216"/>
      <c r="H151" s="216">
        <f>SUM('[1]2000'!N126:N128)</f>
        <v>-2010.6</v>
      </c>
      <c r="J151" s="210">
        <f>SUM('[1]1999'!O126:O128)</f>
        <v>36627.599999999999</v>
      </c>
      <c r="K151" s="210"/>
      <c r="L151" s="217">
        <f>24885+2792</f>
        <v>27677</v>
      </c>
    </row>
    <row r="152" spans="2:12">
      <c r="B152" s="246" t="s">
        <v>356</v>
      </c>
      <c r="F152" s="216">
        <f>+[1]budget!N129</f>
        <v>18898</v>
      </c>
      <c r="G152" s="216"/>
      <c r="H152" s="216">
        <f>+'[1]2000'!N129</f>
        <v>17727</v>
      </c>
      <c r="J152" s="210">
        <f>'[1]1999'!O129</f>
        <v>174019</v>
      </c>
      <c r="K152" s="210"/>
      <c r="L152" s="217">
        <v>107553</v>
      </c>
    </row>
    <row r="153" spans="2:12">
      <c r="B153" s="246" t="s">
        <v>357</v>
      </c>
      <c r="F153" s="216">
        <f>+[1]budget!N130</f>
        <v>4724</v>
      </c>
      <c r="G153" s="216"/>
      <c r="H153" s="216">
        <f>+'[1]2000'!N130</f>
        <v>5058</v>
      </c>
      <c r="J153" s="210">
        <f>'[1]1999'!O130</f>
        <v>43593</v>
      </c>
      <c r="K153" s="210"/>
      <c r="L153" s="217">
        <v>26425</v>
      </c>
    </row>
    <row r="154" spans="2:12">
      <c r="F154" s="216"/>
      <c r="G154" s="216"/>
      <c r="H154" s="216"/>
      <c r="J154" s="210"/>
      <c r="K154" s="210"/>
      <c r="L154" s="217"/>
    </row>
    <row r="155" spans="2:12" ht="13.5" thickBot="1">
      <c r="F155" s="248">
        <f>SUM(F148:F154)</f>
        <v>64847</v>
      </c>
      <c r="G155" s="251"/>
      <c r="H155" s="248">
        <f>SUM(H148:H154)</f>
        <v>89359.54</v>
      </c>
      <c r="I155" s="201"/>
      <c r="J155" s="248">
        <f>SUM(J148:J154)</f>
        <v>664828.47</v>
      </c>
      <c r="K155" s="210"/>
      <c r="L155" s="248">
        <f>SUM(L148:L154)</f>
        <v>374978</v>
      </c>
    </row>
    <row r="156" spans="2:12" ht="13.5" thickTop="1">
      <c r="F156" s="246"/>
      <c r="G156" s="246"/>
      <c r="H156" s="246"/>
      <c r="J156" s="210"/>
      <c r="K156" s="210"/>
      <c r="L156" s="217"/>
    </row>
    <row r="157" spans="2:12" s="207" customFormat="1">
      <c r="B157" s="207" t="s">
        <v>358</v>
      </c>
      <c r="D157" s="208" t="s">
        <v>11</v>
      </c>
      <c r="F157" s="250"/>
      <c r="G157" s="250"/>
      <c r="H157" s="250"/>
    </row>
    <row r="158" spans="2:12">
      <c r="F158" s="246"/>
      <c r="G158" s="246"/>
      <c r="H158" s="246"/>
      <c r="K158" s="210"/>
      <c r="L158" s="210"/>
    </row>
    <row r="159" spans="2:12">
      <c r="B159" s="200" t="s">
        <v>51</v>
      </c>
      <c r="F159" s="216">
        <f>+[1]budget!N134+[1]budget!N135</f>
        <v>96235</v>
      </c>
      <c r="G159" s="216"/>
      <c r="H159" s="216">
        <f>+'[1]2000'!N134</f>
        <v>86042</v>
      </c>
      <c r="J159" s="210">
        <f>'[1]1999'!O134</f>
        <v>763705</v>
      </c>
      <c r="K159" s="210"/>
      <c r="L159" s="210">
        <v>757850</v>
      </c>
    </row>
    <row r="160" spans="2:12">
      <c r="B160" s="200" t="s">
        <v>359</v>
      </c>
      <c r="F160" s="216">
        <f>+[1]budget!N136</f>
        <v>7811</v>
      </c>
      <c r="G160" s="216"/>
      <c r="H160" s="216">
        <f>+'[1]2000'!N136</f>
        <v>6821</v>
      </c>
      <c r="J160" s="210">
        <f>'[1]1999'!O135</f>
        <v>56555</v>
      </c>
      <c r="K160" s="210"/>
      <c r="L160" s="210">
        <v>49374</v>
      </c>
    </row>
    <row r="161" spans="2:12">
      <c r="B161" s="200" t="s">
        <v>360</v>
      </c>
      <c r="F161" s="216">
        <f>+[1]budget!N137</f>
        <v>1650</v>
      </c>
      <c r="G161" s="216"/>
      <c r="H161" s="216">
        <f>+'[1]2000'!N137</f>
        <v>1443</v>
      </c>
      <c r="J161" s="210">
        <f>'[1]1999'!O136</f>
        <v>8231</v>
      </c>
      <c r="K161" s="210"/>
      <c r="L161" s="210">
        <v>7465</v>
      </c>
    </row>
    <row r="162" spans="2:12">
      <c r="B162" s="200" t="s">
        <v>55</v>
      </c>
      <c r="F162" s="216">
        <f>+[1]budget!N138</f>
        <v>4135</v>
      </c>
      <c r="G162" s="216"/>
      <c r="H162" s="216">
        <f>+'[1]2000'!N138</f>
        <v>3462</v>
      </c>
      <c r="J162" s="210">
        <f>'[1]1999'!O137</f>
        <v>28015</v>
      </c>
      <c r="K162" s="210"/>
      <c r="L162" s="210">
        <v>22263</v>
      </c>
    </row>
    <row r="163" spans="2:12">
      <c r="B163" s="200" t="s">
        <v>361</v>
      </c>
      <c r="F163" s="216">
        <f>+[1]budget!N142</f>
        <v>3145</v>
      </c>
      <c r="G163" s="216"/>
      <c r="H163" s="216">
        <f>+'[1]2000'!N142</f>
        <v>2275</v>
      </c>
      <c r="J163" s="210">
        <f>'[1]1999'!O139</f>
        <v>19232</v>
      </c>
      <c r="K163" s="210"/>
      <c r="L163" s="210">
        <v>18903.25</v>
      </c>
    </row>
    <row r="164" spans="2:12">
      <c r="B164" s="200" t="s">
        <v>362</v>
      </c>
      <c r="F164" s="216">
        <f>+[1]budget!N140</f>
        <v>814</v>
      </c>
      <c r="G164" s="216"/>
      <c r="H164" s="216">
        <f>+'[1]2000'!N140</f>
        <v>1443.5</v>
      </c>
      <c r="J164" s="210">
        <f>'[1]1999'!O140</f>
        <v>8884.1</v>
      </c>
      <c r="K164" s="210"/>
      <c r="L164" s="210">
        <v>12389.35</v>
      </c>
    </row>
    <row r="165" spans="2:12">
      <c r="B165" s="200" t="s">
        <v>56</v>
      </c>
      <c r="F165" s="216">
        <f>+[1]budget!N139</f>
        <v>1000</v>
      </c>
      <c r="G165" s="216"/>
      <c r="H165" s="216">
        <f>+'[1]2000'!N139</f>
        <v>0</v>
      </c>
      <c r="J165" s="210">
        <f>'[1]1999'!O141</f>
        <v>40365.75</v>
      </c>
      <c r="K165" s="210"/>
      <c r="L165" s="210">
        <v>10352</v>
      </c>
    </row>
    <row r="166" spans="2:12">
      <c r="B166" s="200" t="s">
        <v>363</v>
      </c>
      <c r="F166" s="216">
        <f>+[1]budget!N141+[1]budget!N145</f>
        <v>150</v>
      </c>
      <c r="G166" s="216"/>
      <c r="H166" s="216">
        <f>+'[1]2000'!N141</f>
        <v>67</v>
      </c>
      <c r="J166" s="210">
        <f>'[1]1999'!O142</f>
        <v>3923</v>
      </c>
      <c r="K166" s="210"/>
      <c r="L166" s="210">
        <v>974</v>
      </c>
    </row>
    <row r="167" spans="2:12">
      <c r="B167" s="200" t="s">
        <v>364</v>
      </c>
      <c r="F167" s="216"/>
      <c r="G167" s="216"/>
      <c r="H167" s="216">
        <v>0</v>
      </c>
      <c r="J167" s="210">
        <f>'[1]1999'!O143</f>
        <v>0</v>
      </c>
      <c r="K167" s="210"/>
      <c r="L167" s="210">
        <v>0</v>
      </c>
    </row>
    <row r="168" spans="2:12">
      <c r="B168" s="200" t="s">
        <v>365</v>
      </c>
      <c r="F168" s="216">
        <f>+[1]budget!N144</f>
        <v>4125</v>
      </c>
      <c r="G168" s="216"/>
      <c r="H168" s="216">
        <f>+'[1]2000'!N144</f>
        <v>3124</v>
      </c>
      <c r="J168" s="210">
        <f>'[1]1999'!O144</f>
        <v>17802</v>
      </c>
      <c r="K168" s="210"/>
      <c r="L168" s="210">
        <v>6668</v>
      </c>
    </row>
    <row r="169" spans="2:12">
      <c r="B169" s="200" t="s">
        <v>366</v>
      </c>
      <c r="F169" s="216">
        <f>+[1]budget!N143</f>
        <v>3000</v>
      </c>
      <c r="G169" s="216"/>
      <c r="H169" s="216">
        <f>+'[1]2000'!N143</f>
        <v>1975</v>
      </c>
      <c r="J169" s="210">
        <f>'[1]1999'!O145</f>
        <v>16527.559999999998</v>
      </c>
      <c r="K169" s="210"/>
      <c r="L169" s="210">
        <v>2850</v>
      </c>
    </row>
    <row r="170" spans="2:12">
      <c r="B170" s="200" t="s">
        <v>367</v>
      </c>
      <c r="F170" s="216">
        <f>+[1]budget!N146</f>
        <v>0</v>
      </c>
      <c r="G170" s="216"/>
      <c r="H170" s="216">
        <f>+'[1]2000'!N146</f>
        <v>0</v>
      </c>
      <c r="J170" s="210">
        <f>'[1]1999'!O146</f>
        <v>8000</v>
      </c>
      <c r="K170" s="210"/>
      <c r="L170" s="210">
        <v>0</v>
      </c>
    </row>
    <row r="171" spans="2:12" ht="13.5" thickBot="1">
      <c r="F171" s="231"/>
      <c r="G171" s="216"/>
      <c r="H171" s="216"/>
      <c r="J171" s="210"/>
      <c r="K171" s="210"/>
      <c r="L171" s="210"/>
    </row>
    <row r="172" spans="2:12" ht="14.25" thickTop="1" thickBot="1">
      <c r="F172" s="248">
        <f>SUM(F159:F171)</f>
        <v>122065</v>
      </c>
      <c r="G172" s="251"/>
      <c r="H172" s="248">
        <f>SUM(H159:H171)</f>
        <v>106652.5</v>
      </c>
      <c r="I172" s="201"/>
      <c r="J172" s="248">
        <f>SUM(J159:J171)</f>
        <v>971240.40999999992</v>
      </c>
      <c r="K172" s="233"/>
      <c r="L172" s="248">
        <f>SUM(L159:L171)</f>
        <v>889088.6</v>
      </c>
    </row>
    <row r="173" spans="2:12" ht="13.5" thickTop="1">
      <c r="F173" s="246"/>
      <c r="G173" s="246"/>
      <c r="H173" s="246"/>
      <c r="J173" s="210"/>
      <c r="K173" s="210"/>
      <c r="L173" s="210"/>
    </row>
    <row r="174" spans="2:12" s="207" customFormat="1">
      <c r="B174" s="207" t="s">
        <v>368</v>
      </c>
      <c r="D174" s="208" t="s">
        <v>12</v>
      </c>
      <c r="F174" s="252"/>
      <c r="G174" s="252"/>
      <c r="H174" s="252"/>
      <c r="J174" s="253">
        <v>1999</v>
      </c>
      <c r="K174" s="213"/>
      <c r="L174" s="253">
        <v>1998</v>
      </c>
    </row>
    <row r="175" spans="2:12">
      <c r="F175" s="246"/>
      <c r="G175" s="246"/>
      <c r="H175" s="246"/>
      <c r="J175" s="210"/>
      <c r="K175" s="210"/>
      <c r="L175" s="210"/>
    </row>
    <row r="176" spans="2:12">
      <c r="B176" s="200" t="s">
        <v>65</v>
      </c>
      <c r="F176" s="216">
        <f>+[1]budget!N151</f>
        <v>18159</v>
      </c>
      <c r="G176" s="216"/>
      <c r="H176" s="216">
        <f>+'[1]2000'!N151</f>
        <v>18156</v>
      </c>
      <c r="J176" s="210">
        <f>'[1]1999'!O151</f>
        <v>217903</v>
      </c>
      <c r="K176" s="210"/>
      <c r="L176" s="210">
        <v>222469</v>
      </c>
    </row>
    <row r="177" spans="2:12">
      <c r="B177" s="200" t="s">
        <v>66</v>
      </c>
      <c r="F177" s="216">
        <f>+[1]budget!N152</f>
        <v>0</v>
      </c>
      <c r="G177" s="216"/>
      <c r="H177" s="216">
        <f>+'[1]2000'!N152</f>
        <v>0</v>
      </c>
      <c r="J177" s="210">
        <f>'[1]1999'!O152</f>
        <v>5320.75</v>
      </c>
      <c r="K177" s="210"/>
      <c r="L177" s="210">
        <v>5841</v>
      </c>
    </row>
    <row r="178" spans="2:12">
      <c r="B178" s="200" t="s">
        <v>67</v>
      </c>
      <c r="F178" s="216">
        <f>+[1]budget!N153</f>
        <v>7500</v>
      </c>
      <c r="G178" s="216"/>
      <c r="H178" s="216">
        <f>+'[1]2000'!N153</f>
        <v>10774.62</v>
      </c>
      <c r="J178" s="210">
        <f>'[1]1999'!O153</f>
        <v>67301.919999999998</v>
      </c>
      <c r="K178" s="210"/>
      <c r="L178" s="210">
        <v>63375.91</v>
      </c>
    </row>
    <row r="179" spans="2:12">
      <c r="B179" s="200" t="s">
        <v>369</v>
      </c>
      <c r="F179" s="216">
        <f>+[1]budget!N154</f>
        <v>1200</v>
      </c>
      <c r="G179" s="216"/>
      <c r="H179" s="216">
        <f>+'[1]2000'!N154</f>
        <v>0</v>
      </c>
      <c r="J179" s="210">
        <f>'[1]1999'!O154</f>
        <v>9650</v>
      </c>
      <c r="K179" s="210"/>
      <c r="L179" s="210">
        <v>9747</v>
      </c>
    </row>
    <row r="180" spans="2:12">
      <c r="B180" s="200" t="s">
        <v>69</v>
      </c>
      <c r="F180" s="216">
        <f>+[1]budget!N155</f>
        <v>100</v>
      </c>
      <c r="G180" s="216"/>
      <c r="H180" s="216">
        <f>+'[1]2000'!N155</f>
        <v>180</v>
      </c>
      <c r="J180" s="210">
        <f>'[1]1999'!O155</f>
        <v>1207</v>
      </c>
      <c r="K180" s="210"/>
      <c r="L180" s="210">
        <v>817.5</v>
      </c>
    </row>
    <row r="181" spans="2:12">
      <c r="B181" s="200" t="s">
        <v>70</v>
      </c>
      <c r="F181" s="216">
        <f>+[1]budget!N156</f>
        <v>525</v>
      </c>
      <c r="G181" s="216"/>
      <c r="H181" s="216">
        <f>+'[1]2000'!N156</f>
        <v>171</v>
      </c>
      <c r="J181" s="210">
        <f>'[1]1999'!O156</f>
        <v>4746.45</v>
      </c>
      <c r="K181" s="210"/>
      <c r="L181" s="210">
        <v>3676.2</v>
      </c>
    </row>
    <row r="182" spans="2:12">
      <c r="B182" s="200" t="s">
        <v>370</v>
      </c>
      <c r="F182" s="216">
        <f>+[1]budget!N160</f>
        <v>750</v>
      </c>
      <c r="G182" s="216"/>
      <c r="H182" s="216">
        <f>+'[1]2000'!N160</f>
        <v>104</v>
      </c>
      <c r="J182" s="210">
        <f>'[1]1999'!O157</f>
        <v>7200.5</v>
      </c>
      <c r="K182" s="210"/>
      <c r="L182" s="210">
        <v>4502</v>
      </c>
    </row>
    <row r="183" spans="2:12">
      <c r="B183" s="200" t="s">
        <v>71</v>
      </c>
      <c r="F183" s="216">
        <f>+[1]budget!N157</f>
        <v>2000</v>
      </c>
      <c r="G183" s="216"/>
      <c r="H183" s="254">
        <f>+'[1]2000'!N157</f>
        <v>550</v>
      </c>
      <c r="J183" s="210">
        <f>'[1]1999'!O158</f>
        <v>8990</v>
      </c>
      <c r="K183" s="210"/>
      <c r="L183" s="210">
        <v>7035</v>
      </c>
    </row>
    <row r="184" spans="2:12">
      <c r="B184" s="200" t="s">
        <v>72</v>
      </c>
      <c r="F184" s="216">
        <f>+[1]budget!N158</f>
        <v>1600</v>
      </c>
      <c r="G184" s="216"/>
      <c r="H184" s="216">
        <f>+'[1]2000'!N158</f>
        <v>0</v>
      </c>
      <c r="J184" s="210">
        <f>'[1]1999'!O159</f>
        <v>11410</v>
      </c>
      <c r="K184" s="210"/>
      <c r="L184" s="210">
        <v>9446.75</v>
      </c>
    </row>
    <row r="185" spans="2:12">
      <c r="B185" s="200" t="s">
        <v>371</v>
      </c>
      <c r="F185" s="216">
        <f>+[1]budget!N163</f>
        <v>175</v>
      </c>
      <c r="G185" s="216"/>
      <c r="H185" s="216">
        <f>+'[1]2000'!N163</f>
        <v>0</v>
      </c>
      <c r="J185" s="210">
        <f>'[1]1999'!O160</f>
        <v>1706</v>
      </c>
      <c r="K185" s="210"/>
      <c r="L185" s="210">
        <v>1460</v>
      </c>
    </row>
    <row r="186" spans="2:12">
      <c r="B186" s="200" t="s">
        <v>372</v>
      </c>
      <c r="F186" s="216">
        <f>+[1]budget!N159</f>
        <v>0</v>
      </c>
      <c r="G186" s="216"/>
      <c r="H186" s="216">
        <f>+'[1]2000'!N159</f>
        <v>0</v>
      </c>
      <c r="J186" s="210">
        <f>'[1]1999'!O161</f>
        <v>0</v>
      </c>
      <c r="K186" s="210"/>
      <c r="L186" s="210">
        <v>10700.34</v>
      </c>
    </row>
    <row r="187" spans="2:12">
      <c r="B187" s="200" t="s">
        <v>373</v>
      </c>
      <c r="F187" s="216">
        <f>+[1]budget!N169</f>
        <v>0</v>
      </c>
      <c r="G187" s="216"/>
      <c r="H187" s="216">
        <f>+'[1]2000'!N169</f>
        <v>0</v>
      </c>
      <c r="J187" s="210">
        <f>'[1]1999'!O162</f>
        <v>12360</v>
      </c>
      <c r="K187" s="210"/>
      <c r="L187" s="210">
        <v>53785</v>
      </c>
    </row>
    <row r="188" spans="2:12">
      <c r="B188" s="200" t="s">
        <v>374</v>
      </c>
      <c r="F188" s="216">
        <f>+[1]budget!N61</f>
        <v>0</v>
      </c>
      <c r="G188" s="216"/>
      <c r="H188" s="216">
        <f>+'[1]2000'!N161</f>
        <v>5885</v>
      </c>
      <c r="J188" s="210">
        <f>'[1]1999'!O163</f>
        <v>31914</v>
      </c>
      <c r="K188" s="210"/>
      <c r="L188" s="210">
        <v>17212</v>
      </c>
    </row>
    <row r="189" spans="2:12">
      <c r="B189" s="200" t="s">
        <v>375</v>
      </c>
      <c r="F189" s="216">
        <f>+[1]budget!N170</f>
        <v>0</v>
      </c>
      <c r="G189" s="216"/>
      <c r="H189" s="216">
        <f>+'[1]2000'!N170</f>
        <v>0</v>
      </c>
      <c r="J189" s="210">
        <f>'[1]1999'!O164</f>
        <v>0</v>
      </c>
      <c r="K189" s="210"/>
      <c r="L189" s="210">
        <v>0</v>
      </c>
    </row>
    <row r="190" spans="2:12">
      <c r="B190" s="200" t="s">
        <v>376</v>
      </c>
      <c r="F190" s="216">
        <f>+[1]budget!N217</f>
        <v>10000</v>
      </c>
      <c r="G190" s="216"/>
      <c r="H190" s="216">
        <f>+'[1]2000'!N217</f>
        <v>10000</v>
      </c>
      <c r="J190" s="210">
        <v>120000</v>
      </c>
      <c r="K190" s="210"/>
      <c r="L190" s="210">
        <v>40000</v>
      </c>
    </row>
    <row r="191" spans="2:12">
      <c r="B191" s="200" t="s">
        <v>377</v>
      </c>
      <c r="F191" s="216">
        <f>+[1]budget!N171</f>
        <v>0</v>
      </c>
      <c r="G191" s="216"/>
      <c r="H191" s="216">
        <f>+'[1]2000'!N171</f>
        <v>0</v>
      </c>
      <c r="J191" s="210">
        <f>'[1]1999'!O165</f>
        <v>0</v>
      </c>
      <c r="K191" s="210"/>
      <c r="L191" s="210">
        <v>0</v>
      </c>
    </row>
    <row r="192" spans="2:12">
      <c r="B192" s="200" t="s">
        <v>378</v>
      </c>
      <c r="F192" s="216">
        <f>+[1]budget!N166</f>
        <v>100</v>
      </c>
      <c r="G192" s="216"/>
      <c r="H192" s="216">
        <f>+'[1]2000'!N166</f>
        <v>1672.5</v>
      </c>
      <c r="J192" s="210">
        <f>'[1]1999'!O166</f>
        <v>203.13</v>
      </c>
      <c r="K192" s="210"/>
      <c r="L192" s="210">
        <v>101</v>
      </c>
    </row>
    <row r="193" spans="2:12">
      <c r="B193" s="200" t="s">
        <v>79</v>
      </c>
      <c r="F193" s="216">
        <f>+[1]budget!N165</f>
        <v>0</v>
      </c>
      <c r="G193" s="216"/>
      <c r="H193" s="216">
        <f>+'[1]2000'!N165</f>
        <v>0</v>
      </c>
      <c r="J193" s="210">
        <f>'[1]1999'!O167</f>
        <v>2791</v>
      </c>
      <c r="K193" s="210"/>
      <c r="L193" s="210">
        <v>2316</v>
      </c>
    </row>
    <row r="194" spans="2:12">
      <c r="B194" s="200" t="s">
        <v>379</v>
      </c>
      <c r="F194" s="216">
        <f>+[1]budget!N172</f>
        <v>0</v>
      </c>
      <c r="G194" s="216"/>
      <c r="H194" s="216">
        <f>+'[1]2000'!N172</f>
        <v>0</v>
      </c>
      <c r="J194" s="210">
        <f>'[1]1999'!O168</f>
        <v>0</v>
      </c>
      <c r="K194" s="210"/>
      <c r="L194" s="210">
        <v>0</v>
      </c>
    </row>
    <row r="195" spans="2:12">
      <c r="B195" s="200" t="s">
        <v>78</v>
      </c>
      <c r="F195" s="216">
        <f>+[1]budget!N164</f>
        <v>225</v>
      </c>
      <c r="G195" s="216"/>
      <c r="H195" s="216">
        <f>+'[1]2000'!N164</f>
        <v>0</v>
      </c>
      <c r="J195" s="210">
        <f>'[1]1999'!O169</f>
        <v>3879.5</v>
      </c>
      <c r="K195" s="210"/>
      <c r="L195" s="210">
        <v>1521</v>
      </c>
    </row>
    <row r="196" spans="2:12">
      <c r="B196" s="200" t="s">
        <v>76</v>
      </c>
      <c r="F196" s="216">
        <f>+[1]budget!N162</f>
        <v>2000</v>
      </c>
      <c r="G196" s="216"/>
      <c r="H196" s="216">
        <f>+'[1]2000'!N162</f>
        <v>60</v>
      </c>
      <c r="J196" s="210">
        <f>'[1]1999'!O170</f>
        <v>15089.25</v>
      </c>
      <c r="K196" s="210"/>
      <c r="L196" s="210">
        <v>11314</v>
      </c>
    </row>
    <row r="197" spans="2:12">
      <c r="B197" s="200" t="s">
        <v>380</v>
      </c>
      <c r="F197" s="216">
        <f>+[1]budget!N168</f>
        <v>2750</v>
      </c>
      <c r="G197" s="216"/>
      <c r="H197" s="216">
        <f>+'[1]2000'!N168</f>
        <v>2387</v>
      </c>
      <c r="J197" s="210">
        <f>'[1]1999'!O171</f>
        <v>29100</v>
      </c>
      <c r="K197" s="210"/>
      <c r="L197" s="210">
        <v>12125</v>
      </c>
    </row>
    <row r="198" spans="2:12">
      <c r="B198" s="200" t="s">
        <v>381</v>
      </c>
      <c r="F198" s="216">
        <f>+[1]budget!N173</f>
        <v>0</v>
      </c>
      <c r="G198" s="216"/>
      <c r="H198" s="216">
        <f>+'[1]2000'!N173</f>
        <v>0</v>
      </c>
      <c r="J198" s="210">
        <f>'[1]1999'!O172</f>
        <v>0</v>
      </c>
      <c r="K198" s="210"/>
      <c r="L198" s="210">
        <v>0</v>
      </c>
    </row>
    <row r="199" spans="2:12">
      <c r="B199" s="200" t="s">
        <v>382</v>
      </c>
      <c r="F199" s="216">
        <f>+[1]budget!N167</f>
        <v>2327</v>
      </c>
      <c r="G199" s="216"/>
      <c r="H199" s="216">
        <f>+'[1]2000'!N167</f>
        <v>645</v>
      </c>
      <c r="J199" s="210">
        <f>'[1]1999'!O173</f>
        <v>27930</v>
      </c>
      <c r="K199" s="210"/>
      <c r="L199" s="210">
        <v>470</v>
      </c>
    </row>
    <row r="200" spans="2:12">
      <c r="F200" s="216"/>
      <c r="G200" s="216"/>
      <c r="H200" s="216"/>
      <c r="J200" s="210">
        <f>'[1]1999'!O174</f>
        <v>0</v>
      </c>
      <c r="K200" s="210"/>
      <c r="L200" s="210"/>
    </row>
    <row r="201" spans="2:12">
      <c r="F201" s="216"/>
      <c r="G201" s="216"/>
      <c r="H201" s="216"/>
      <c r="J201" s="210"/>
      <c r="K201" s="210"/>
      <c r="L201" s="210"/>
    </row>
    <row r="202" spans="2:12" ht="13.5" thickBot="1">
      <c r="F202" s="248">
        <f>SUM(F176:F201)</f>
        <v>49411</v>
      </c>
      <c r="G202" s="249"/>
      <c r="H202" s="248">
        <f>SUM(H176:H201)</f>
        <v>50585.120000000003</v>
      </c>
      <c r="I202" s="255"/>
      <c r="J202" s="248">
        <f>SUM(J176:J201)</f>
        <v>578702.5</v>
      </c>
      <c r="K202" s="249"/>
      <c r="L202" s="248">
        <f>SUM(L176:L201)</f>
        <v>477914.70000000007</v>
      </c>
    </row>
    <row r="203" spans="2:12" ht="13.5" thickTop="1">
      <c r="F203" s="216"/>
      <c r="G203" s="216"/>
      <c r="H203" s="216"/>
      <c r="I203" s="246"/>
      <c r="J203" s="217"/>
      <c r="K203" s="217"/>
      <c r="L203" s="217"/>
    </row>
    <row r="204" spans="2:12">
      <c r="B204" s="207" t="s">
        <v>383</v>
      </c>
      <c r="C204" s="207"/>
      <c r="D204" s="208" t="s">
        <v>84</v>
      </c>
      <c r="F204" s="246"/>
      <c r="G204" s="246"/>
      <c r="H204" s="246"/>
    </row>
    <row r="205" spans="2:12">
      <c r="F205" s="216"/>
      <c r="G205" s="216"/>
      <c r="H205" s="216"/>
      <c r="J205" s="210"/>
      <c r="K205" s="210"/>
      <c r="L205" s="210"/>
    </row>
    <row r="206" spans="2:12">
      <c r="B206" s="200" t="s">
        <v>384</v>
      </c>
      <c r="F206" s="216">
        <f>+[1]budget!M179</f>
        <v>0</v>
      </c>
      <c r="G206" s="216"/>
      <c r="H206" s="216">
        <f>+'[1]2000'!N179</f>
        <v>0</v>
      </c>
      <c r="J206" s="210">
        <f>'[1]1999'!O179</f>
        <v>0</v>
      </c>
      <c r="K206" s="210"/>
      <c r="L206" s="210">
        <v>0</v>
      </c>
    </row>
    <row r="207" spans="2:12">
      <c r="B207" s="200" t="s">
        <v>385</v>
      </c>
      <c r="F207" s="216">
        <f>+[1]budget!M180</f>
        <v>400</v>
      </c>
      <c r="G207" s="216"/>
      <c r="H207" s="216">
        <f>+'[1]2000'!N180</f>
        <v>830</v>
      </c>
      <c r="J207" s="210">
        <f>'[1]1999'!O180</f>
        <v>1854</v>
      </c>
      <c r="K207" s="210"/>
      <c r="L207" s="210">
        <v>813</v>
      </c>
    </row>
    <row r="208" spans="2:12">
      <c r="B208" s="200" t="s">
        <v>386</v>
      </c>
      <c r="F208" s="216">
        <f>+[1]budget!M181</f>
        <v>350</v>
      </c>
      <c r="G208" s="216"/>
      <c r="H208" s="216">
        <f>+'[1]2000'!N181</f>
        <v>1783</v>
      </c>
      <c r="J208" s="210">
        <f>'[1]1999'!O181</f>
        <v>1107</v>
      </c>
      <c r="K208" s="210"/>
      <c r="L208" s="210">
        <v>3539</v>
      </c>
    </row>
    <row r="209" spans="2:12">
      <c r="F209" s="216"/>
      <c r="G209" s="216"/>
      <c r="H209" s="216"/>
      <c r="J209" s="210"/>
      <c r="K209" s="210"/>
      <c r="L209" s="210"/>
    </row>
    <row r="210" spans="2:12" ht="13.5" thickBot="1">
      <c r="F210" s="248">
        <f>SUM(F206:F208)</f>
        <v>750</v>
      </c>
      <c r="G210" s="251"/>
      <c r="H210" s="248">
        <f>SUM(H206:H208)</f>
        <v>2613</v>
      </c>
      <c r="I210" s="201"/>
      <c r="J210" s="248">
        <f>SUM(J206:J208)</f>
        <v>2961</v>
      </c>
      <c r="K210" s="233"/>
      <c r="L210" s="248">
        <f>SUM(L206:L208)</f>
        <v>4352</v>
      </c>
    </row>
    <row r="211" spans="2:12" ht="13.5" thickTop="1">
      <c r="F211" s="246"/>
      <c r="G211" s="246"/>
      <c r="H211" s="246"/>
      <c r="J211" s="217"/>
      <c r="K211" s="210"/>
      <c r="L211" s="217"/>
    </row>
    <row r="212" spans="2:12">
      <c r="B212" s="207" t="s">
        <v>387</v>
      </c>
      <c r="C212" s="207"/>
      <c r="D212" s="208" t="s">
        <v>13</v>
      </c>
      <c r="F212" s="256"/>
      <c r="G212" s="256"/>
      <c r="H212" s="256"/>
      <c r="I212" s="207"/>
      <c r="J212" s="257"/>
      <c r="K212" s="213"/>
      <c r="L212" s="258"/>
    </row>
    <row r="213" spans="2:12">
      <c r="F213" s="246"/>
      <c r="G213" s="246"/>
      <c r="H213" s="246"/>
      <c r="J213" s="217"/>
      <c r="K213" s="210"/>
      <c r="L213" s="217"/>
    </row>
    <row r="214" spans="2:12">
      <c r="B214" s="200" t="s">
        <v>388</v>
      </c>
      <c r="F214" s="216">
        <f>+[1]budget!N186</f>
        <v>837</v>
      </c>
      <c r="G214" s="216"/>
      <c r="H214" s="216">
        <f>+'[1]2000'!N186</f>
        <v>833</v>
      </c>
      <c r="J214" s="217">
        <f>'[1]1999'!O186</f>
        <v>9996</v>
      </c>
      <c r="K214" s="210"/>
      <c r="L214" s="217">
        <v>10000</v>
      </c>
    </row>
    <row r="215" spans="2:12">
      <c r="B215" s="200" t="s">
        <v>389</v>
      </c>
      <c r="F215" s="216">
        <f>+[1]budget!N187</f>
        <v>0</v>
      </c>
      <c r="G215" s="216"/>
      <c r="H215" s="216">
        <f>+'[1]2000'!N187</f>
        <v>0</v>
      </c>
      <c r="J215" s="217">
        <f>'[1]1999'!O187</f>
        <v>0</v>
      </c>
      <c r="K215" s="210"/>
      <c r="L215" s="217">
        <v>0</v>
      </c>
    </row>
    <row r="216" spans="2:12">
      <c r="B216" s="200" t="s">
        <v>390</v>
      </c>
      <c r="F216" s="216">
        <f>+[1]budget!N188</f>
        <v>1500</v>
      </c>
      <c r="G216" s="216"/>
      <c r="H216" s="216">
        <f>+'[1]2000'!N188</f>
        <v>2000</v>
      </c>
      <c r="J216" s="217">
        <f>'[1]1999'!O188</f>
        <v>60000</v>
      </c>
      <c r="K216" s="210"/>
      <c r="L216" s="217">
        <v>24000</v>
      </c>
    </row>
    <row r="217" spans="2:12">
      <c r="F217" s="216"/>
      <c r="G217" s="216"/>
      <c r="H217" s="216"/>
      <c r="J217" s="217"/>
      <c r="K217" s="210"/>
      <c r="L217" s="217"/>
    </row>
    <row r="218" spans="2:12" ht="13.5" thickBot="1">
      <c r="F218" s="248">
        <f>SUM(F214:F217)</f>
        <v>2337</v>
      </c>
      <c r="G218" s="251"/>
      <c r="H218" s="248">
        <f>SUM(H214:H217)</f>
        <v>2833</v>
      </c>
      <c r="I218" s="201"/>
      <c r="J218" s="248">
        <f>SUM(J214:J217)</f>
        <v>69996</v>
      </c>
      <c r="K218" s="233"/>
      <c r="L218" s="248">
        <f>SUM(L214:L217)</f>
        <v>34000</v>
      </c>
    </row>
    <row r="219" spans="2:12" ht="13.5" thickTop="1">
      <c r="F219" s="246"/>
      <c r="G219" s="246"/>
      <c r="H219" s="246"/>
      <c r="J219" s="210"/>
      <c r="K219" s="210"/>
      <c r="L219" s="210"/>
    </row>
    <row r="220" spans="2:12" s="207" customFormat="1">
      <c r="B220" s="207" t="s">
        <v>391</v>
      </c>
      <c r="D220" s="208" t="s">
        <v>90</v>
      </c>
      <c r="F220" s="250"/>
      <c r="G220" s="250"/>
      <c r="H220" s="250"/>
      <c r="J220" s="235">
        <v>1999</v>
      </c>
      <c r="K220" s="235"/>
      <c r="L220" s="235">
        <v>1998</v>
      </c>
    </row>
    <row r="221" spans="2:12">
      <c r="F221" s="246"/>
      <c r="G221" s="246"/>
      <c r="H221" s="246"/>
      <c r="J221" s="210"/>
      <c r="K221" s="210"/>
      <c r="L221" s="210"/>
    </row>
    <row r="222" spans="2:12">
      <c r="B222" s="200" t="s">
        <v>392</v>
      </c>
      <c r="F222" s="216">
        <f>+[1]budget!N193</f>
        <v>375</v>
      </c>
      <c r="G222" s="216"/>
      <c r="H222" s="216">
        <f>+'[1]2000'!N193</f>
        <v>375</v>
      </c>
      <c r="J222" s="210">
        <f>'[1]1999'!O193</f>
        <v>4500</v>
      </c>
      <c r="K222" s="210"/>
      <c r="L222" s="210">
        <v>4496</v>
      </c>
    </row>
    <row r="223" spans="2:12">
      <c r="B223" s="200" t="s">
        <v>91</v>
      </c>
      <c r="F223" s="216">
        <f>+[1]budget!N194</f>
        <v>125</v>
      </c>
      <c r="G223" s="216"/>
      <c r="H223" s="216">
        <f>+'[1]2000'!N194</f>
        <v>86</v>
      </c>
      <c r="J223" s="210">
        <f>'[1]1999'!O194</f>
        <v>1088</v>
      </c>
      <c r="K223" s="210"/>
      <c r="L223" s="210">
        <v>2525</v>
      </c>
    </row>
    <row r="224" spans="2:12">
      <c r="B224" s="200" t="s">
        <v>393</v>
      </c>
      <c r="F224" s="216">
        <f>+[1]budget!N195</f>
        <v>0</v>
      </c>
      <c r="G224" s="216"/>
      <c r="H224" s="216">
        <f>+'[1]2000'!N195</f>
        <v>0</v>
      </c>
      <c r="J224" s="210">
        <f>'[1]1999'!O195</f>
        <v>0</v>
      </c>
      <c r="K224" s="210"/>
      <c r="L224" s="210">
        <v>0</v>
      </c>
    </row>
    <row r="225" spans="2:12">
      <c r="F225" s="216"/>
      <c r="G225" s="216"/>
      <c r="H225" s="216"/>
      <c r="J225" s="210"/>
      <c r="K225" s="210"/>
      <c r="L225" s="210"/>
    </row>
    <row r="226" spans="2:12" ht="13.5" thickBot="1">
      <c r="F226" s="248">
        <f>SUM(F222:F225)</f>
        <v>500</v>
      </c>
      <c r="G226" s="251"/>
      <c r="H226" s="248">
        <f>SUM(H222:H225)</f>
        <v>461</v>
      </c>
      <c r="I226" s="201"/>
      <c r="J226" s="248">
        <f>SUM(J222:J225)</f>
        <v>5588</v>
      </c>
      <c r="K226" s="233"/>
      <c r="L226" s="248">
        <f>SUM(L222:L225)</f>
        <v>7021</v>
      </c>
    </row>
    <row r="227" spans="2:12" ht="13.5" thickTop="1">
      <c r="F227" s="246"/>
      <c r="G227" s="246"/>
      <c r="H227" s="246"/>
      <c r="J227" s="210"/>
      <c r="K227" s="210"/>
      <c r="L227" s="210"/>
    </row>
    <row r="228" spans="2:12" s="207" customFormat="1">
      <c r="B228" s="207" t="s">
        <v>394</v>
      </c>
      <c r="D228" s="208" t="s">
        <v>15</v>
      </c>
      <c r="F228" s="252"/>
      <c r="G228" s="252"/>
      <c r="H228" s="252"/>
      <c r="J228" s="253">
        <v>1999</v>
      </c>
      <c r="K228" s="213"/>
      <c r="L228" s="253">
        <v>1998</v>
      </c>
    </row>
    <row r="229" spans="2:12">
      <c r="F229" s="246"/>
      <c r="G229" s="246"/>
      <c r="H229" s="246"/>
      <c r="J229" s="210"/>
      <c r="K229" s="210"/>
      <c r="L229" s="210"/>
    </row>
    <row r="230" spans="2:12">
      <c r="B230" s="200" t="s">
        <v>95</v>
      </c>
      <c r="F230" s="216">
        <f>+[1]budget!N200</f>
        <v>10000</v>
      </c>
      <c r="G230" s="216"/>
      <c r="H230" s="216">
        <f>+'[1]2000'!N200</f>
        <v>16105</v>
      </c>
      <c r="J230" s="210">
        <f>'[1]1999'!O200</f>
        <v>117702.75</v>
      </c>
      <c r="K230" s="210"/>
      <c r="L230" s="210">
        <v>93751</v>
      </c>
    </row>
    <row r="231" spans="2:12">
      <c r="B231" s="200" t="s">
        <v>395</v>
      </c>
      <c r="F231" s="216">
        <f>+[1]budget!N201</f>
        <v>375</v>
      </c>
      <c r="G231" s="216"/>
      <c r="H231" s="216">
        <f>+'[1]2000'!N201</f>
        <v>0</v>
      </c>
      <c r="J231" s="210">
        <f>'[1]1999'!O201</f>
        <v>484</v>
      </c>
      <c r="K231" s="210"/>
      <c r="L231" s="210">
        <v>3607.6</v>
      </c>
    </row>
    <row r="232" spans="2:12">
      <c r="B232" s="200" t="s">
        <v>396</v>
      </c>
      <c r="F232" s="216">
        <f>+[1]budget!N202</f>
        <v>0</v>
      </c>
      <c r="G232" s="216"/>
      <c r="H232" s="216">
        <f>+'[1]2000'!N202</f>
        <v>1818.5</v>
      </c>
      <c r="J232" s="210">
        <f>'[1]1999'!O202</f>
        <v>19163</v>
      </c>
      <c r="K232" s="210"/>
      <c r="L232" s="210">
        <v>29448</v>
      </c>
    </row>
    <row r="233" spans="2:12">
      <c r="B233" s="200" t="s">
        <v>397</v>
      </c>
      <c r="F233" s="216">
        <f>+[1]budget!N203</f>
        <v>0</v>
      </c>
      <c r="G233" s="216"/>
      <c r="H233" s="216">
        <f>+'[1]2000'!N203</f>
        <v>0</v>
      </c>
      <c r="J233" s="210">
        <f>'[1]1999'!O203</f>
        <v>0</v>
      </c>
      <c r="K233" s="210"/>
      <c r="L233" s="210">
        <v>0</v>
      </c>
    </row>
    <row r="234" spans="2:12">
      <c r="F234" s="216"/>
      <c r="G234" s="216"/>
      <c r="H234" s="216"/>
      <c r="J234" s="210"/>
      <c r="K234" s="210"/>
      <c r="L234" s="210"/>
    </row>
    <row r="235" spans="2:12" ht="13.5" thickBot="1">
      <c r="F235" s="248">
        <f>SUM(F230:F234)</f>
        <v>10375</v>
      </c>
      <c r="G235" s="251"/>
      <c r="H235" s="248">
        <f>SUM(H230:H234)</f>
        <v>17923.5</v>
      </c>
      <c r="I235" s="201"/>
      <c r="J235" s="248">
        <f>SUM(J230:J234)</f>
        <v>137349.75</v>
      </c>
      <c r="K235" s="233"/>
      <c r="L235" s="248">
        <f>SUM(L230:L234)</f>
        <v>126806.6</v>
      </c>
    </row>
    <row r="236" spans="2:12" ht="13.5" thickTop="1">
      <c r="F236" s="246"/>
      <c r="G236" s="246"/>
      <c r="H236" s="246"/>
      <c r="J236" s="210"/>
      <c r="K236" s="210"/>
      <c r="L236" s="210"/>
    </row>
    <row r="237" spans="2:12" s="207" customFormat="1">
      <c r="B237" s="207" t="s">
        <v>398</v>
      </c>
      <c r="D237" s="208" t="s">
        <v>16</v>
      </c>
      <c r="F237" s="250"/>
      <c r="G237" s="250"/>
      <c r="H237" s="250"/>
      <c r="J237" s="212"/>
      <c r="K237" s="213"/>
      <c r="L237" s="213"/>
    </row>
    <row r="238" spans="2:12">
      <c r="F238" s="246"/>
      <c r="G238" s="246"/>
      <c r="H238" s="246"/>
      <c r="J238" s="210"/>
      <c r="K238" s="210"/>
      <c r="L238" s="210"/>
    </row>
    <row r="239" spans="2:12">
      <c r="B239" s="200" t="s">
        <v>399</v>
      </c>
      <c r="F239" s="216">
        <f>+[1]budget!N208</f>
        <v>100</v>
      </c>
      <c r="G239" s="216"/>
      <c r="H239" s="216">
        <f>+'[1]2000'!N208</f>
        <v>0</v>
      </c>
      <c r="J239" s="210">
        <f>'[1]1999'!O208</f>
        <v>514</v>
      </c>
      <c r="K239" s="210"/>
      <c r="L239" s="210">
        <v>3965.94</v>
      </c>
    </row>
    <row r="240" spans="2:12">
      <c r="B240" s="200" t="s">
        <v>400</v>
      </c>
      <c r="F240" s="216">
        <f>+[1]budget!N209</f>
        <v>0</v>
      </c>
      <c r="G240" s="216"/>
      <c r="H240" s="216">
        <f>+'[1]2000'!N209</f>
        <v>0</v>
      </c>
      <c r="J240" s="210">
        <f>'[1]1999'!O209</f>
        <v>0</v>
      </c>
      <c r="K240" s="210"/>
      <c r="L240" s="210">
        <v>0</v>
      </c>
    </row>
    <row r="241" spans="2:12">
      <c r="B241" s="200" t="s">
        <v>401</v>
      </c>
      <c r="F241" s="216">
        <f>+[1]budget!N210</f>
        <v>0</v>
      </c>
      <c r="G241" s="216"/>
      <c r="H241" s="216">
        <f>+'[1]2000'!N210</f>
        <v>0</v>
      </c>
      <c r="J241" s="210">
        <f>'[1]1999'!O210</f>
        <v>0</v>
      </c>
      <c r="K241" s="210"/>
      <c r="L241" s="210">
        <v>0</v>
      </c>
    </row>
    <row r="242" spans="2:12">
      <c r="B242" s="200" t="s">
        <v>402</v>
      </c>
      <c r="F242" s="216">
        <f>+[1]budget!N211</f>
        <v>300</v>
      </c>
      <c r="G242" s="216"/>
      <c r="H242" s="216">
        <f>+'[1]2000'!N211</f>
        <v>615.85</v>
      </c>
      <c r="J242" s="210">
        <f>'[1]1999'!O211</f>
        <v>2475.66</v>
      </c>
      <c r="K242" s="210"/>
      <c r="L242" s="210">
        <v>2202.64</v>
      </c>
    </row>
    <row r="243" spans="2:12">
      <c r="B243" s="200" t="s">
        <v>403</v>
      </c>
      <c r="F243" s="216">
        <f>+[1]budget!N212</f>
        <v>1429</v>
      </c>
      <c r="G243" s="216"/>
      <c r="H243" s="216">
        <f>+'[1]2000'!N212</f>
        <v>0</v>
      </c>
      <c r="J243" s="210">
        <f>'[1]1999'!O212</f>
        <v>57258.48</v>
      </c>
      <c r="K243" s="210"/>
      <c r="L243" s="210">
        <v>15723</v>
      </c>
    </row>
    <row r="244" spans="2:12">
      <c r="B244" s="200" t="s">
        <v>404</v>
      </c>
      <c r="F244" s="216">
        <f>+[1]budget!N213</f>
        <v>75</v>
      </c>
      <c r="G244" s="216"/>
      <c r="H244" s="216">
        <f>+'[1]2000'!N213</f>
        <v>0</v>
      </c>
      <c r="J244" s="210">
        <f>'[1]1999'!O213</f>
        <v>-707.13999999999987</v>
      </c>
      <c r="K244" s="210"/>
      <c r="L244" s="210">
        <v>115.91</v>
      </c>
    </row>
    <row r="245" spans="2:12">
      <c r="F245" s="216"/>
      <c r="G245" s="216"/>
      <c r="H245" s="216"/>
      <c r="J245" s="210"/>
      <c r="K245" s="210"/>
      <c r="L245" s="210"/>
    </row>
    <row r="246" spans="2:12" ht="13.5" thickBot="1">
      <c r="F246" s="248">
        <f>SUM(F239:F245)</f>
        <v>1904</v>
      </c>
      <c r="G246" s="251"/>
      <c r="H246" s="248">
        <f>SUM(H239:H245)</f>
        <v>615.85</v>
      </c>
      <c r="I246" s="201"/>
      <c r="J246" s="248">
        <f>SUM(J239:J245)</f>
        <v>59541</v>
      </c>
      <c r="K246" s="233"/>
      <c r="L246" s="248">
        <f>SUM(L239:L245)</f>
        <v>22007.49</v>
      </c>
    </row>
    <row r="247" spans="2:12" ht="13.5" thickTop="1">
      <c r="F247" s="246"/>
      <c r="G247" s="246"/>
      <c r="H247" s="246"/>
      <c r="J247" s="210"/>
      <c r="K247" s="210"/>
      <c r="L247" s="210"/>
    </row>
    <row r="248" spans="2:12">
      <c r="F248" s="246"/>
      <c r="G248" s="246"/>
      <c r="H248" s="246"/>
      <c r="L248" s="202"/>
    </row>
    <row r="249" spans="2:12">
      <c r="B249" s="207" t="s">
        <v>405</v>
      </c>
      <c r="D249" s="208" t="s">
        <v>406</v>
      </c>
      <c r="F249" s="246"/>
      <c r="G249" s="246"/>
      <c r="H249" s="246"/>
      <c r="L249" s="202"/>
    </row>
    <row r="250" spans="2:12">
      <c r="F250" s="246"/>
      <c r="G250" s="246"/>
      <c r="H250" s="246"/>
      <c r="L250" s="202"/>
    </row>
    <row r="251" spans="2:12">
      <c r="B251" s="200" t="s">
        <v>407</v>
      </c>
      <c r="F251" s="259" t="s">
        <v>124</v>
      </c>
      <c r="G251" s="246"/>
      <c r="H251" s="260">
        <v>22005</v>
      </c>
      <c r="J251" s="261" t="s">
        <v>124</v>
      </c>
    </row>
    <row r="252" spans="2:12">
      <c r="F252" s="246"/>
      <c r="G252" s="246"/>
      <c r="H252" s="246"/>
    </row>
    <row r="253" spans="2:12">
      <c r="F253" s="246"/>
      <c r="G253" s="246"/>
      <c r="H253" s="246"/>
    </row>
    <row r="254" spans="2:12" ht="13.5" thickBot="1">
      <c r="F254" s="262">
        <f>SUM(F251:F252)</f>
        <v>0</v>
      </c>
      <c r="G254" s="255"/>
      <c r="H254" s="248">
        <f>SUM(H251:H252)</f>
        <v>22005</v>
      </c>
      <c r="I254" s="255"/>
      <c r="J254" s="262">
        <f>SUM(J251:J252)</f>
        <v>0</v>
      </c>
    </row>
    <row r="255" spans="2:12" ht="13.5" thickTop="1">
      <c r="F255" s="246"/>
      <c r="G255" s="246"/>
      <c r="H255" s="246"/>
    </row>
    <row r="256" spans="2:12">
      <c r="F256" s="246"/>
      <c r="G256" s="246"/>
      <c r="H256" s="246"/>
    </row>
    <row r="257" spans="6:8">
      <c r="F257" s="246"/>
      <c r="G257" s="246"/>
      <c r="H257" s="246"/>
    </row>
    <row r="258" spans="6:8">
      <c r="F258" s="246"/>
      <c r="G258" s="246"/>
      <c r="H258" s="246"/>
    </row>
    <row r="259" spans="6:8">
      <c r="F259" s="246"/>
      <c r="G259" s="246"/>
      <c r="H259" s="246"/>
    </row>
    <row r="260" spans="6:8">
      <c r="F260" s="246"/>
      <c r="G260" s="246"/>
      <c r="H260" s="246"/>
    </row>
    <row r="261" spans="6:8">
      <c r="F261" s="246"/>
      <c r="G261" s="246"/>
      <c r="H261" s="246"/>
    </row>
    <row r="273" spans="12:12">
      <c r="L273" s="202"/>
    </row>
    <row r="274" spans="12:12">
      <c r="L274" s="202"/>
    </row>
  </sheetData>
  <mergeCells count="1">
    <mergeCell ref="I135:J135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Q83"/>
  <sheetViews>
    <sheetView showZeros="0" workbookViewId="0">
      <pane xSplit="1" ySplit="2" topLeftCell="L3" activePane="bottomRight" state="frozen"/>
      <selection pane="topRight" activeCell="C1" sqref="C1"/>
      <selection pane="bottomLeft" activeCell="A3" sqref="A3"/>
      <selection pane="bottomRight" activeCell="P29" sqref="P29"/>
    </sheetView>
  </sheetViews>
  <sheetFormatPr defaultRowHeight="12.75"/>
  <cols>
    <col min="1" max="1" width="30" customWidth="1"/>
    <col min="2" max="2" width="9.85546875" hidden="1" customWidth="1"/>
    <col min="3" max="3" width="0.140625" customWidth="1"/>
    <col min="4" max="4" width="11.85546875" customWidth="1"/>
    <col min="5" max="5" width="11.140625" customWidth="1"/>
    <col min="6" max="6" width="11" customWidth="1"/>
    <col min="7" max="10" width="10.5703125" customWidth="1"/>
    <col min="11" max="11" width="11.7109375" customWidth="1"/>
    <col min="12" max="12" width="12.42578125" customWidth="1"/>
    <col min="13" max="13" width="11.5703125" customWidth="1"/>
    <col min="14" max="14" width="10.5703125" customWidth="1"/>
    <col min="15" max="15" width="12" customWidth="1"/>
    <col min="16" max="16" width="12.28515625" customWidth="1"/>
    <col min="17" max="17" width="8.42578125" customWidth="1"/>
  </cols>
  <sheetData>
    <row r="1" spans="1:17">
      <c r="A1" s="65"/>
      <c r="B1" s="584" t="s">
        <v>810</v>
      </c>
      <c r="C1" s="584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7"/>
    </row>
    <row r="2" spans="1:17">
      <c r="A2" s="65" t="s">
        <v>42</v>
      </c>
      <c r="B2" s="65" t="s">
        <v>809</v>
      </c>
      <c r="C2" s="65" t="s">
        <v>3</v>
      </c>
      <c r="D2" s="69">
        <v>37623</v>
      </c>
      <c r="E2" s="69">
        <v>37654</v>
      </c>
      <c r="F2" s="69">
        <v>37682</v>
      </c>
      <c r="G2" s="69">
        <v>37713</v>
      </c>
      <c r="H2" s="69">
        <v>37743</v>
      </c>
      <c r="I2" s="69">
        <v>37774</v>
      </c>
      <c r="J2" s="69">
        <v>37804</v>
      </c>
      <c r="K2" s="69">
        <v>37835</v>
      </c>
      <c r="L2" s="69">
        <v>37866</v>
      </c>
      <c r="M2" s="69">
        <v>37896</v>
      </c>
      <c r="N2" s="69">
        <v>37927</v>
      </c>
      <c r="O2" s="69">
        <v>37957</v>
      </c>
      <c r="P2" s="67" t="s">
        <v>5</v>
      </c>
    </row>
    <row r="3" spans="1:17">
      <c r="A3" s="11" t="s">
        <v>6</v>
      </c>
      <c r="B3" s="81">
        <v>3239475</v>
      </c>
      <c r="C3" s="532">
        <f>+B3/B3</f>
        <v>1</v>
      </c>
      <c r="D3" s="170">
        <f>SALES!E55+25000</f>
        <v>350000</v>
      </c>
      <c r="E3" s="170">
        <f>SALES!H55+25000</f>
        <v>375000</v>
      </c>
      <c r="F3" s="170">
        <f>SALES!K55+30000</f>
        <v>430000</v>
      </c>
      <c r="G3" s="170">
        <f>SALES!N55+30000</f>
        <v>505000</v>
      </c>
      <c r="H3" s="170">
        <f>SALES!Q55+30000</f>
        <v>530000</v>
      </c>
      <c r="I3" s="170">
        <f>SALES!T55+35000</f>
        <v>535000</v>
      </c>
      <c r="J3" s="170">
        <f>SALES!W55+30000</f>
        <v>455000</v>
      </c>
      <c r="K3" s="170">
        <f>SALES!Z55+20000</f>
        <v>420000</v>
      </c>
      <c r="L3" s="170">
        <f>SALES!AC55+20000</f>
        <v>320000</v>
      </c>
      <c r="M3" s="170">
        <f>SALES!AF55+20000</f>
        <v>345000</v>
      </c>
      <c r="N3" s="170">
        <f>SALES!AI55+25000</f>
        <v>350000</v>
      </c>
      <c r="O3" s="170">
        <f>SALES!AL55+25000</f>
        <v>375000</v>
      </c>
      <c r="P3" s="378">
        <f>SUM(D3:O3)</f>
        <v>4990000</v>
      </c>
      <c r="Q3" s="532">
        <f>+P3/P3</f>
        <v>1</v>
      </c>
    </row>
    <row r="4" spans="1:17">
      <c r="A4" s="4"/>
      <c r="B4" s="21"/>
      <c r="C4" s="21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379"/>
      <c r="Q4" s="532"/>
    </row>
    <row r="5" spans="1:17">
      <c r="A5" s="4" t="s">
        <v>7</v>
      </c>
      <c r="B5" s="21"/>
      <c r="C5" s="21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1"/>
      <c r="Q5" s="532"/>
    </row>
    <row r="6" spans="1:17">
      <c r="A6" s="4" t="s">
        <v>8</v>
      </c>
      <c r="B6" s="21">
        <v>1288651</v>
      </c>
      <c r="C6" s="532">
        <f>+B6/$B$3</f>
        <v>0.39779624784880269</v>
      </c>
      <c r="D6" s="170">
        <f>+(D3-25000)*39.5%</f>
        <v>128375</v>
      </c>
      <c r="E6" s="170">
        <f>+(E3-25000)*39.5%</f>
        <v>138250</v>
      </c>
      <c r="F6" s="170">
        <f>+(F3-30000)*39.5%</f>
        <v>158000</v>
      </c>
      <c r="G6" s="170">
        <f>+(G3-30000)*39.5%</f>
        <v>187625</v>
      </c>
      <c r="H6" s="170">
        <f>+(H3-30000)*39.5%</f>
        <v>197500</v>
      </c>
      <c r="I6" s="170">
        <f>+(I3-35000)*39.5%</f>
        <v>197500</v>
      </c>
      <c r="J6" s="170">
        <f>+(J3-30000)*39.5%</f>
        <v>167875</v>
      </c>
      <c r="K6" s="170">
        <f>+(K3-20000)*39.5%</f>
        <v>158000</v>
      </c>
      <c r="L6" s="170">
        <f>+(L3-20000)*39.5%</f>
        <v>118500</v>
      </c>
      <c r="M6" s="170">
        <f>+(M3-20000)*39.5%</f>
        <v>128375</v>
      </c>
      <c r="N6" s="170">
        <f>+(N3-25000)*39.5%</f>
        <v>128375</v>
      </c>
      <c r="O6" s="170">
        <f>+(O3-25000)*39.5%</f>
        <v>138250</v>
      </c>
      <c r="P6" s="378">
        <f>SUM(D6:O6)</f>
        <v>1846625</v>
      </c>
      <c r="Q6" s="532">
        <f>+P6/$P$3</f>
        <v>0.37006513026052107</v>
      </c>
    </row>
    <row r="7" spans="1:17">
      <c r="A7" s="4"/>
      <c r="B7" s="21"/>
      <c r="C7" s="21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382"/>
      <c r="Q7" s="532">
        <f t="shared" ref="Q7:Q40" si="0">+P7/$P$3</f>
        <v>0</v>
      </c>
    </row>
    <row r="8" spans="1:17">
      <c r="A8" s="4"/>
      <c r="B8" s="21"/>
      <c r="C8" s="21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382"/>
      <c r="Q8" s="532">
        <f t="shared" si="0"/>
        <v>0</v>
      </c>
    </row>
    <row r="9" spans="1:17" s="198" customFormat="1" ht="14.25">
      <c r="A9" s="19" t="s">
        <v>9</v>
      </c>
      <c r="B9" s="383">
        <f t="shared" ref="B9:P9" si="1">B3-B6</f>
        <v>1950824</v>
      </c>
      <c r="C9" s="538">
        <f>+B9/$B$3</f>
        <v>0.60220375215119737</v>
      </c>
      <c r="D9" s="383">
        <f t="shared" si="1"/>
        <v>221625</v>
      </c>
      <c r="E9" s="383">
        <f t="shared" si="1"/>
        <v>236750</v>
      </c>
      <c r="F9" s="383">
        <f t="shared" si="1"/>
        <v>272000</v>
      </c>
      <c r="G9" s="383">
        <f t="shared" si="1"/>
        <v>317375</v>
      </c>
      <c r="H9" s="383">
        <f t="shared" si="1"/>
        <v>332500</v>
      </c>
      <c r="I9" s="383">
        <f t="shared" si="1"/>
        <v>337500</v>
      </c>
      <c r="J9" s="383">
        <f t="shared" si="1"/>
        <v>287125</v>
      </c>
      <c r="K9" s="383">
        <f t="shared" si="1"/>
        <v>262000</v>
      </c>
      <c r="L9" s="383">
        <f t="shared" si="1"/>
        <v>201500</v>
      </c>
      <c r="M9" s="383">
        <f t="shared" si="1"/>
        <v>216625</v>
      </c>
      <c r="N9" s="383">
        <f t="shared" si="1"/>
        <v>221625</v>
      </c>
      <c r="O9" s="383">
        <f t="shared" si="1"/>
        <v>236750</v>
      </c>
      <c r="P9" s="384">
        <f t="shared" si="1"/>
        <v>3143375</v>
      </c>
      <c r="Q9" s="532">
        <f t="shared" si="0"/>
        <v>0.62993486973947899</v>
      </c>
    </row>
    <row r="10" spans="1:17">
      <c r="A10" s="4"/>
      <c r="B10" s="21"/>
      <c r="C10" s="21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382"/>
      <c r="Q10" s="532">
        <f t="shared" si="0"/>
        <v>0</v>
      </c>
    </row>
    <row r="11" spans="1:17">
      <c r="A11" s="11" t="s">
        <v>10</v>
      </c>
      <c r="B11" s="81"/>
      <c r="C11" s="81"/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6"/>
      <c r="Q11" s="532">
        <f t="shared" si="0"/>
        <v>0</v>
      </c>
    </row>
    <row r="12" spans="1:17">
      <c r="A12" s="4" t="s">
        <v>11</v>
      </c>
      <c r="B12" s="21">
        <v>1359078</v>
      </c>
      <c r="C12" s="532">
        <f>+B12/$B$3</f>
        <v>0.41953649896974049</v>
      </c>
      <c r="D12" s="387">
        <f>'GEN. O.H'!F18</f>
        <v>146267.32159090912</v>
      </c>
      <c r="E12" s="387">
        <f>'GEN. O.H'!G18</f>
        <v>146267.32159090912</v>
      </c>
      <c r="F12" s="387">
        <f>'GEN. O.H'!H18</f>
        <v>146267.32159090912</v>
      </c>
      <c r="G12" s="387">
        <f>'GEN. O.H'!I18</f>
        <v>146267.32159090912</v>
      </c>
      <c r="H12" s="387">
        <f>'GEN. O.H'!J18</f>
        <v>146267.32159090912</v>
      </c>
      <c r="I12" s="387">
        <f>'GEN. O.H'!K18</f>
        <v>146267.32159090912</v>
      </c>
      <c r="J12" s="387">
        <f>'GEN. O.H'!L18</f>
        <v>146267.32159090912</v>
      </c>
      <c r="K12" s="387">
        <f>'GEN. O.H'!M18</f>
        <v>146267.32159090912</v>
      </c>
      <c r="L12" s="387">
        <f>'GEN. O.H'!N18</f>
        <v>159371.07159090909</v>
      </c>
      <c r="M12" s="387">
        <f>'GEN. O.H'!O18</f>
        <v>159371.07159090909</v>
      </c>
      <c r="N12" s="387">
        <f>'GEN. O.H'!P18</f>
        <v>159371.07159090909</v>
      </c>
      <c r="O12" s="387">
        <f>'GEN. O.H'!Q18</f>
        <v>159371.07159090909</v>
      </c>
      <c r="P12" s="378">
        <f t="shared" ref="P12:P18" si="2">SUM(D12:O12)</f>
        <v>1807622.8590909091</v>
      </c>
      <c r="Q12" s="532">
        <f t="shared" si="0"/>
        <v>0.36224906995809802</v>
      </c>
    </row>
    <row r="13" spans="1:17">
      <c r="A13" s="4" t="s">
        <v>12</v>
      </c>
      <c r="B13" s="21">
        <v>525953</v>
      </c>
      <c r="C13" s="532">
        <f t="shared" ref="C13:C20" si="3">+B13/$B$3</f>
        <v>0.16235748076463008</v>
      </c>
      <c r="D13" s="387">
        <f>'GEN. O.H'!F41</f>
        <v>48337.096954545457</v>
      </c>
      <c r="E13" s="387">
        <f>'GEN. O.H'!G41</f>
        <v>48337.096954545457</v>
      </c>
      <c r="F13" s="387">
        <f>'GEN. O.H'!H41</f>
        <v>48337.096954545457</v>
      </c>
      <c r="G13" s="387">
        <f>'GEN. O.H'!I41</f>
        <v>48337.096954545457</v>
      </c>
      <c r="H13" s="387">
        <f>'GEN. O.H'!J41</f>
        <v>48337.096954545457</v>
      </c>
      <c r="I13" s="387">
        <f>'GEN. O.H'!K41</f>
        <v>48337.096954545457</v>
      </c>
      <c r="J13" s="387">
        <f>'GEN. O.H'!L41</f>
        <v>48337.096954545457</v>
      </c>
      <c r="K13" s="387">
        <f>'GEN. O.H'!M41</f>
        <v>48337.096954545457</v>
      </c>
      <c r="L13" s="387">
        <f>'GEN. O.H'!N41</f>
        <v>48337.096954545457</v>
      </c>
      <c r="M13" s="387">
        <f>'GEN. O.H'!O41</f>
        <v>48337.096954545457</v>
      </c>
      <c r="N13" s="387">
        <f>'GEN. O.H'!P41</f>
        <v>48337.096954545457</v>
      </c>
      <c r="O13" s="387">
        <f>'GEN. O.H'!Q41</f>
        <v>48337.096954545457</v>
      </c>
      <c r="P13" s="378">
        <f t="shared" si="2"/>
        <v>580045.16345454555</v>
      </c>
      <c r="Q13" s="532">
        <f t="shared" si="0"/>
        <v>0.11624151572235382</v>
      </c>
    </row>
    <row r="14" spans="1:17">
      <c r="A14" s="4" t="s">
        <v>84</v>
      </c>
      <c r="B14" s="21">
        <v>9238</v>
      </c>
      <c r="C14" s="532">
        <f t="shared" si="3"/>
        <v>2.8516966483766661E-3</v>
      </c>
      <c r="D14" s="387">
        <f>'GEN. O.H'!F47</f>
        <v>881.81863636363641</v>
      </c>
      <c r="E14" s="387">
        <f>'GEN. O.H'!G47</f>
        <v>881.81863636363641</v>
      </c>
      <c r="F14" s="387">
        <f>'GEN. O.H'!H47</f>
        <v>881.81863636363641</v>
      </c>
      <c r="G14" s="387">
        <f>'GEN. O.H'!I47</f>
        <v>881.81863636363641</v>
      </c>
      <c r="H14" s="387">
        <f>'GEN. O.H'!J47</f>
        <v>881.81863636363641</v>
      </c>
      <c r="I14" s="387">
        <f>'GEN. O.H'!K47</f>
        <v>881.81863636363641</v>
      </c>
      <c r="J14" s="387">
        <f>'GEN. O.H'!L47</f>
        <v>881.81863636363641</v>
      </c>
      <c r="K14" s="387">
        <f>'GEN. O.H'!M47</f>
        <v>881.81863636363641</v>
      </c>
      <c r="L14" s="387">
        <f>'GEN. O.H'!N47</f>
        <v>881.81863636363641</v>
      </c>
      <c r="M14" s="387">
        <f>'GEN. O.H'!O47</f>
        <v>881.81863636363641</v>
      </c>
      <c r="N14" s="387">
        <f>'GEN. O.H'!P47</f>
        <v>881.81863636363641</v>
      </c>
      <c r="O14" s="387">
        <f>'GEN. O.H'!Q47</f>
        <v>881.81863636363641</v>
      </c>
      <c r="P14" s="378">
        <f t="shared" si="2"/>
        <v>10581.823636363633</v>
      </c>
      <c r="Q14" s="532">
        <f t="shared" si="0"/>
        <v>2.1206059391510289E-3</v>
      </c>
    </row>
    <row r="15" spans="1:17">
      <c r="A15" s="11" t="s">
        <v>13</v>
      </c>
      <c r="B15" s="537">
        <v>31163</v>
      </c>
      <c r="C15" s="532">
        <f t="shared" si="3"/>
        <v>9.6197686353498638E-3</v>
      </c>
      <c r="D15" s="387">
        <f>'GEN. O.H'!F54</f>
        <v>2833</v>
      </c>
      <c r="E15" s="387">
        <f>'GEN. O.H'!G54</f>
        <v>2833</v>
      </c>
      <c r="F15" s="387">
        <f>'GEN. O.H'!H54</f>
        <v>2833</v>
      </c>
      <c r="G15" s="387">
        <f>'GEN. O.H'!I54</f>
        <v>2833</v>
      </c>
      <c r="H15" s="387">
        <f>'GEN. O.H'!J54</f>
        <v>2833</v>
      </c>
      <c r="I15" s="387">
        <f>'GEN. O.H'!K54</f>
        <v>2833</v>
      </c>
      <c r="J15" s="387">
        <f>'GEN. O.H'!L54</f>
        <v>2833</v>
      </c>
      <c r="K15" s="387">
        <f>'GEN. O.H'!M54</f>
        <v>2833</v>
      </c>
      <c r="L15" s="387">
        <f>'GEN. O.H'!N54</f>
        <v>2833</v>
      </c>
      <c r="M15" s="387">
        <f>'GEN. O.H'!O54</f>
        <v>2833</v>
      </c>
      <c r="N15" s="387">
        <f>'GEN. O.H'!P54</f>
        <v>2833</v>
      </c>
      <c r="O15" s="387">
        <f>'GEN. O.H'!Q54</f>
        <v>2833</v>
      </c>
      <c r="P15" s="378">
        <f t="shared" si="2"/>
        <v>33996</v>
      </c>
      <c r="Q15" s="532">
        <f t="shared" si="0"/>
        <v>6.8128256513026054E-3</v>
      </c>
    </row>
    <row r="16" spans="1:17">
      <c r="A16" s="11" t="s">
        <v>14</v>
      </c>
      <c r="B16" s="537">
        <v>5271</v>
      </c>
      <c r="C16" s="532">
        <f t="shared" si="3"/>
        <v>1.6271155048271711E-3</v>
      </c>
      <c r="D16" s="387">
        <f>'GEN. O.H'!F60</f>
        <v>479.25</v>
      </c>
      <c r="E16" s="387">
        <f>'GEN. O.H'!G60</f>
        <v>479.25</v>
      </c>
      <c r="F16" s="387">
        <f>'GEN. O.H'!H60</f>
        <v>479.25</v>
      </c>
      <c r="G16" s="387">
        <f>'GEN. O.H'!I60</f>
        <v>479.25</v>
      </c>
      <c r="H16" s="387">
        <f>'GEN. O.H'!J60</f>
        <v>479.25</v>
      </c>
      <c r="I16" s="387">
        <f>'GEN. O.H'!K60</f>
        <v>479.25</v>
      </c>
      <c r="J16" s="387">
        <f>'GEN. O.H'!L60</f>
        <v>479.25</v>
      </c>
      <c r="K16" s="387">
        <f>'GEN. O.H'!M60</f>
        <v>479.25</v>
      </c>
      <c r="L16" s="387">
        <f>'GEN. O.H'!N60</f>
        <v>479.25</v>
      </c>
      <c r="M16" s="387">
        <f>'GEN. O.H'!O60</f>
        <v>479.25</v>
      </c>
      <c r="N16" s="387">
        <f>'GEN. O.H'!P60</f>
        <v>479.25</v>
      </c>
      <c r="O16" s="387">
        <f>'GEN. O.H'!Q60</f>
        <v>479.25</v>
      </c>
      <c r="P16" s="378">
        <f t="shared" si="2"/>
        <v>5751</v>
      </c>
      <c r="Q16" s="532">
        <f t="shared" si="0"/>
        <v>1.15250501002004E-3</v>
      </c>
    </row>
    <row r="17" spans="1:17">
      <c r="A17" s="11" t="s">
        <v>15</v>
      </c>
      <c r="B17" s="537">
        <v>133385</v>
      </c>
      <c r="C17" s="532">
        <f t="shared" si="3"/>
        <v>4.1174881732379473E-2</v>
      </c>
      <c r="D17" s="387">
        <f>'GEN. O.H'!F68</f>
        <v>8000</v>
      </c>
      <c r="E17" s="387">
        <f>'GEN. O.H'!G68</f>
        <v>8000</v>
      </c>
      <c r="F17" s="387">
        <f>'GEN. O.H'!H68</f>
        <v>50000</v>
      </c>
      <c r="G17" s="387">
        <f>'GEN. O.H'!I68</f>
        <v>12000</v>
      </c>
      <c r="H17" s="387">
        <f>'GEN. O.H'!J68</f>
        <v>12000</v>
      </c>
      <c r="I17" s="387">
        <f>'GEN. O.H'!K68</f>
        <v>10000</v>
      </c>
      <c r="J17" s="387">
        <f>'GEN. O.H'!L68</f>
        <v>8000</v>
      </c>
      <c r="K17" s="387">
        <f>'GEN. O.H'!M68</f>
        <v>7000</v>
      </c>
      <c r="L17" s="387">
        <f>'GEN. O.H'!N68</f>
        <v>7000</v>
      </c>
      <c r="M17" s="387">
        <f>'GEN. O.H'!O68</f>
        <v>50000</v>
      </c>
      <c r="N17" s="387">
        <f>'GEN. O.H'!P68</f>
        <v>8000</v>
      </c>
      <c r="O17" s="387">
        <f>'GEN. O.H'!Q68</f>
        <v>8000</v>
      </c>
      <c r="P17" s="378">
        <f t="shared" si="2"/>
        <v>188000</v>
      </c>
      <c r="Q17" s="532">
        <f t="shared" si="0"/>
        <v>3.7675350701402807E-2</v>
      </c>
    </row>
    <row r="18" spans="1:17">
      <c r="A18" s="4" t="s">
        <v>16</v>
      </c>
      <c r="B18" s="537">
        <v>12465</v>
      </c>
      <c r="C18" s="532">
        <f t="shared" si="3"/>
        <v>3.8478457157409764E-3</v>
      </c>
      <c r="D18" s="387">
        <f>'GEN. O.H'!F77</f>
        <v>696.15272727272736</v>
      </c>
      <c r="E18" s="387">
        <f>'GEN. O.H'!G77</f>
        <v>766.15272727272736</v>
      </c>
      <c r="F18" s="387">
        <f>'GEN. O.H'!H77</f>
        <v>746.15272727272736</v>
      </c>
      <c r="G18" s="387">
        <f>'GEN. O.H'!I77</f>
        <v>746.15272727272736</v>
      </c>
      <c r="H18" s="387">
        <f>'GEN. O.H'!J77</f>
        <v>996.15272727272736</v>
      </c>
      <c r="I18" s="387">
        <f>'GEN. O.H'!K77</f>
        <v>996.15272727272736</v>
      </c>
      <c r="J18" s="387">
        <f>'GEN. O.H'!L77</f>
        <v>996.15272727272736</v>
      </c>
      <c r="K18" s="387">
        <f>'GEN. O.H'!M77</f>
        <v>996.15272727272736</v>
      </c>
      <c r="L18" s="387">
        <f>'GEN. O.H'!N77</f>
        <v>696.15272727272736</v>
      </c>
      <c r="M18" s="387">
        <f>'GEN. O.H'!O77</f>
        <v>696.15272727272736</v>
      </c>
      <c r="N18" s="387">
        <f>'GEN. O.H'!P77</f>
        <v>696.15272727272736</v>
      </c>
      <c r="O18" s="387">
        <f>'GEN. O.H'!Q77</f>
        <v>796.15272727272736</v>
      </c>
      <c r="P18" s="378">
        <f t="shared" si="2"/>
        <v>9823.8327272727274</v>
      </c>
      <c r="Q18" s="532">
        <f t="shared" si="0"/>
        <v>1.968703953361268E-3</v>
      </c>
    </row>
    <row r="19" spans="1:17">
      <c r="A19" s="22"/>
      <c r="B19" s="535"/>
      <c r="C19" s="535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388"/>
      <c r="Q19" s="532">
        <f t="shared" si="0"/>
        <v>0</v>
      </c>
    </row>
    <row r="20" spans="1:17">
      <c r="A20" s="4" t="s">
        <v>17</v>
      </c>
      <c r="B20" s="163">
        <f t="shared" ref="B20:P20" si="4">SUM(B12:B19)</f>
        <v>2076553</v>
      </c>
      <c r="C20" s="532">
        <f t="shared" si="3"/>
        <v>0.64101528797104468</v>
      </c>
      <c r="D20" s="163">
        <f t="shared" si="4"/>
        <v>207494.63990909094</v>
      </c>
      <c r="E20" s="163">
        <f t="shared" si="4"/>
        <v>207564.63990909094</v>
      </c>
      <c r="F20" s="163">
        <f t="shared" si="4"/>
        <v>249544.63990909094</v>
      </c>
      <c r="G20" s="163">
        <f t="shared" si="4"/>
        <v>211544.63990909094</v>
      </c>
      <c r="H20" s="163">
        <f t="shared" si="4"/>
        <v>211794.63990909094</v>
      </c>
      <c r="I20" s="163">
        <f t="shared" si="4"/>
        <v>209794.63990909094</v>
      </c>
      <c r="J20" s="163">
        <f t="shared" si="4"/>
        <v>207794.63990909094</v>
      </c>
      <c r="K20" s="163">
        <f t="shared" si="4"/>
        <v>206794.63990909094</v>
      </c>
      <c r="L20" s="163">
        <f t="shared" si="4"/>
        <v>219598.38990909094</v>
      </c>
      <c r="M20" s="163">
        <f t="shared" si="4"/>
        <v>262598.38990909094</v>
      </c>
      <c r="N20" s="163">
        <f t="shared" si="4"/>
        <v>220598.38990909094</v>
      </c>
      <c r="O20" s="163">
        <f t="shared" si="4"/>
        <v>220698.38990909094</v>
      </c>
      <c r="P20" s="388">
        <f t="shared" si="4"/>
        <v>2635820.6789090908</v>
      </c>
      <c r="Q20" s="532">
        <f t="shared" si="0"/>
        <v>0.52822057693568958</v>
      </c>
    </row>
    <row r="21" spans="1:17">
      <c r="A21" s="4"/>
      <c r="B21" s="21"/>
      <c r="C21" s="21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388"/>
      <c r="Q21" s="532">
        <f t="shared" si="0"/>
        <v>0</v>
      </c>
    </row>
    <row r="22" spans="1:17" s="198" customFormat="1" ht="14.25">
      <c r="A22" s="19" t="s">
        <v>18</v>
      </c>
      <c r="B22" s="389">
        <f t="shared" ref="B22:P22" si="5">B9-B20</f>
        <v>-125729</v>
      </c>
      <c r="C22" s="534"/>
      <c r="D22" s="389">
        <f t="shared" si="5"/>
        <v>14130.36009090906</v>
      </c>
      <c r="E22" s="389">
        <f t="shared" si="5"/>
        <v>29185.36009090906</v>
      </c>
      <c r="F22" s="389">
        <f t="shared" si="5"/>
        <v>22455.36009090906</v>
      </c>
      <c r="G22" s="389">
        <f t="shared" si="5"/>
        <v>105830.36009090906</v>
      </c>
      <c r="H22" s="389">
        <f t="shared" si="5"/>
        <v>120705.36009090906</v>
      </c>
      <c r="I22" s="389">
        <f t="shared" si="5"/>
        <v>127705.36009090906</v>
      </c>
      <c r="J22" s="389">
        <f t="shared" si="5"/>
        <v>79330.36009090906</v>
      </c>
      <c r="K22" s="389">
        <f t="shared" si="5"/>
        <v>55205.36009090906</v>
      </c>
      <c r="L22" s="389">
        <f t="shared" si="5"/>
        <v>-18098.38990909094</v>
      </c>
      <c r="M22" s="389">
        <f t="shared" si="5"/>
        <v>-45973.38990909094</v>
      </c>
      <c r="N22" s="389">
        <f t="shared" si="5"/>
        <v>1026.6100909090601</v>
      </c>
      <c r="O22" s="389">
        <f t="shared" si="5"/>
        <v>16051.61009090906</v>
      </c>
      <c r="P22" s="390">
        <f t="shared" si="5"/>
        <v>507554.32109090919</v>
      </c>
      <c r="Q22" s="532">
        <f t="shared" si="0"/>
        <v>0.10171429280378942</v>
      </c>
    </row>
    <row r="23" spans="1:17">
      <c r="A23" s="4"/>
      <c r="B23" s="21"/>
      <c r="C23" s="21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388"/>
      <c r="Q23" s="532">
        <f t="shared" si="0"/>
        <v>0</v>
      </c>
    </row>
    <row r="24" spans="1:17">
      <c r="A24" s="4" t="s">
        <v>19</v>
      </c>
      <c r="B24" s="21">
        <v>1175</v>
      </c>
      <c r="C24" s="532">
        <f>+B24/$B$3</f>
        <v>3.6271309394269132E-4</v>
      </c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388">
        <f>SUM(D24:O24)</f>
        <v>0</v>
      </c>
      <c r="Q24" s="532">
        <f t="shared" si="0"/>
        <v>0</v>
      </c>
    </row>
    <row r="25" spans="1:17">
      <c r="A25" s="26"/>
      <c r="B25" s="94"/>
      <c r="C25" s="94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388"/>
      <c r="Q25" s="532">
        <f t="shared" si="0"/>
        <v>0</v>
      </c>
    </row>
    <row r="26" spans="1:17" s="198" customFormat="1" ht="14.25">
      <c r="A26" s="19" t="s">
        <v>20</v>
      </c>
      <c r="B26" s="389">
        <f t="shared" ref="B26:P26" si="6">B22+B24</f>
        <v>-124554</v>
      </c>
      <c r="C26" s="534"/>
      <c r="D26" s="389">
        <f t="shared" si="6"/>
        <v>14130.36009090906</v>
      </c>
      <c r="E26" s="389">
        <f t="shared" si="6"/>
        <v>29185.36009090906</v>
      </c>
      <c r="F26" s="389">
        <f t="shared" si="6"/>
        <v>22455.36009090906</v>
      </c>
      <c r="G26" s="389">
        <f t="shared" si="6"/>
        <v>105830.36009090906</v>
      </c>
      <c r="H26" s="389">
        <f t="shared" si="6"/>
        <v>120705.36009090906</v>
      </c>
      <c r="I26" s="389">
        <f t="shared" si="6"/>
        <v>127705.36009090906</v>
      </c>
      <c r="J26" s="389">
        <f t="shared" si="6"/>
        <v>79330.36009090906</v>
      </c>
      <c r="K26" s="389">
        <f t="shared" si="6"/>
        <v>55205.36009090906</v>
      </c>
      <c r="L26" s="389">
        <f t="shared" si="6"/>
        <v>-18098.38990909094</v>
      </c>
      <c r="M26" s="389">
        <f t="shared" si="6"/>
        <v>-45973.38990909094</v>
      </c>
      <c r="N26" s="389">
        <f t="shared" si="6"/>
        <v>1026.6100909090601</v>
      </c>
      <c r="O26" s="389">
        <f t="shared" si="6"/>
        <v>16051.61009090906</v>
      </c>
      <c r="P26" s="390">
        <f t="shared" si="6"/>
        <v>507554.32109090919</v>
      </c>
      <c r="Q26" s="532">
        <f t="shared" si="0"/>
        <v>0.10171429280378942</v>
      </c>
    </row>
    <row r="27" spans="1:17">
      <c r="A27" s="22"/>
      <c r="B27" s="535"/>
      <c r="C27" s="535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388"/>
      <c r="Q27" s="532">
        <f t="shared" si="0"/>
        <v>0</v>
      </c>
    </row>
    <row r="28" spans="1:17">
      <c r="A28" s="11" t="s">
        <v>21</v>
      </c>
      <c r="B28" s="81">
        <v>110000</v>
      </c>
      <c r="C28" s="532">
        <f>+B28/$B$3</f>
        <v>3.3956119432932808E-2</v>
      </c>
      <c r="D28" s="387">
        <v>10000</v>
      </c>
      <c r="E28" s="387">
        <v>10000</v>
      </c>
      <c r="F28" s="387">
        <v>10000</v>
      </c>
      <c r="G28" s="387">
        <v>10000</v>
      </c>
      <c r="H28" s="387">
        <v>10000</v>
      </c>
      <c r="I28" s="387">
        <v>10000</v>
      </c>
      <c r="J28" s="387">
        <v>10000</v>
      </c>
      <c r="K28" s="387">
        <v>10000</v>
      </c>
      <c r="L28" s="387">
        <v>10000</v>
      </c>
      <c r="M28" s="387">
        <v>10000</v>
      </c>
      <c r="N28" s="387">
        <v>10000</v>
      </c>
      <c r="O28" s="387">
        <v>10000</v>
      </c>
      <c r="P28" s="378">
        <f>SUM(D28:O28)</f>
        <v>120000</v>
      </c>
      <c r="Q28" s="532">
        <f t="shared" si="0"/>
        <v>2.4048096192384769E-2</v>
      </c>
    </row>
    <row r="29" spans="1:17">
      <c r="A29" s="11"/>
      <c r="B29" s="81"/>
      <c r="C29" s="81"/>
      <c r="D29" s="387"/>
      <c r="E29" s="387"/>
      <c r="F29" s="387"/>
      <c r="G29" s="387"/>
      <c r="H29" s="387"/>
      <c r="I29" s="387"/>
      <c r="J29" s="387"/>
      <c r="K29" s="387"/>
      <c r="L29" s="387"/>
      <c r="M29" s="387"/>
      <c r="N29" s="387"/>
      <c r="O29" s="387"/>
      <c r="P29" s="378"/>
      <c r="Q29" s="532">
        <f t="shared" si="0"/>
        <v>0</v>
      </c>
    </row>
    <row r="30" spans="1:17" s="198" customFormat="1" ht="14.25">
      <c r="A30" s="19" t="s">
        <v>22</v>
      </c>
      <c r="B30" s="383">
        <f t="shared" ref="B30:P30" si="7">B26-B28</f>
        <v>-234554</v>
      </c>
      <c r="C30" s="534"/>
      <c r="D30" s="383">
        <f t="shared" si="7"/>
        <v>4130.3600909090601</v>
      </c>
      <c r="E30" s="383">
        <f t="shared" si="7"/>
        <v>19185.36009090906</v>
      </c>
      <c r="F30" s="383">
        <f t="shared" si="7"/>
        <v>12455.36009090906</v>
      </c>
      <c r="G30" s="383">
        <f t="shared" si="7"/>
        <v>95830.36009090906</v>
      </c>
      <c r="H30" s="383">
        <f t="shared" si="7"/>
        <v>110705.36009090906</v>
      </c>
      <c r="I30" s="383">
        <f t="shared" si="7"/>
        <v>117705.36009090906</v>
      </c>
      <c r="J30" s="383">
        <f t="shared" si="7"/>
        <v>69330.36009090906</v>
      </c>
      <c r="K30" s="383">
        <f t="shared" si="7"/>
        <v>45205.36009090906</v>
      </c>
      <c r="L30" s="383">
        <f t="shared" si="7"/>
        <v>-28098.38990909094</v>
      </c>
      <c r="M30" s="383">
        <f t="shared" si="7"/>
        <v>-55973.38990909094</v>
      </c>
      <c r="N30" s="383">
        <f t="shared" si="7"/>
        <v>-8973.3899090909399</v>
      </c>
      <c r="O30" s="383">
        <f t="shared" si="7"/>
        <v>6051.6100909090601</v>
      </c>
      <c r="P30" s="384">
        <f t="shared" si="7"/>
        <v>387554.32109090919</v>
      </c>
      <c r="Q30" s="532">
        <f t="shared" si="0"/>
        <v>7.7666196611404642E-2</v>
      </c>
    </row>
    <row r="31" spans="1:17">
      <c r="A31" s="11"/>
      <c r="B31" s="81"/>
      <c r="C31" s="81"/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7"/>
      <c r="P31" s="378"/>
      <c r="Q31" s="532">
        <f t="shared" si="0"/>
        <v>0</v>
      </c>
    </row>
    <row r="32" spans="1:17">
      <c r="A32" s="4" t="s">
        <v>23</v>
      </c>
      <c r="B32" s="21">
        <v>270399</v>
      </c>
      <c r="C32" s="532">
        <f>+B32/$B$3</f>
        <v>8.3470006714050887E-2</v>
      </c>
      <c r="D32" s="387">
        <f>+Capex!$E$47</f>
        <v>25537.110909090905</v>
      </c>
      <c r="E32" s="387">
        <f>+Capex!$E$47</f>
        <v>25537.110909090905</v>
      </c>
      <c r="F32" s="387">
        <f>+Capex!$E$47</f>
        <v>25537.110909090905</v>
      </c>
      <c r="G32" s="387">
        <f>+Capex!$E$47</f>
        <v>25537.110909090905</v>
      </c>
      <c r="H32" s="387">
        <f>+Capex!$E$47</f>
        <v>25537.110909090905</v>
      </c>
      <c r="I32" s="387">
        <f>+Capex!$E$47</f>
        <v>25537.110909090905</v>
      </c>
      <c r="J32" s="387">
        <f>+Capex!$E$47</f>
        <v>25537.110909090905</v>
      </c>
      <c r="K32" s="387">
        <f>+Capex!$E$47</f>
        <v>25537.110909090905</v>
      </c>
      <c r="L32" s="387">
        <f>+Capex!$E$47</f>
        <v>25537.110909090905</v>
      </c>
      <c r="M32" s="387">
        <f>+Capex!$E$47</f>
        <v>25537.110909090905</v>
      </c>
      <c r="N32" s="387">
        <f>+Capex!$E$47</f>
        <v>25537.110909090905</v>
      </c>
      <c r="O32" s="387">
        <f>+Capex!$E$47</f>
        <v>25537.110909090905</v>
      </c>
      <c r="P32" s="378">
        <f>SUM(D32:O32)</f>
        <v>306445.33090909087</v>
      </c>
      <c r="Q32" s="532">
        <f t="shared" si="0"/>
        <v>6.1411889961741656E-2</v>
      </c>
    </row>
    <row r="33" spans="1:17">
      <c r="A33" s="4" t="s">
        <v>24</v>
      </c>
      <c r="B33" s="21">
        <v>16830</v>
      </c>
      <c r="C33" s="532">
        <f>+B33/$B$3</f>
        <v>5.1952862732387193E-3</v>
      </c>
      <c r="D33" s="387">
        <f>'GEN. O.H'!F108</f>
        <v>1403</v>
      </c>
      <c r="E33" s="387">
        <f>'GEN. O.H'!G108</f>
        <v>1403</v>
      </c>
      <c r="F33" s="387">
        <f>'GEN. O.H'!H108</f>
        <v>1403</v>
      </c>
      <c r="G33" s="387">
        <f>'GEN. O.H'!I108</f>
        <v>1403</v>
      </c>
      <c r="H33" s="387">
        <f>'GEN. O.H'!J108</f>
        <v>1403</v>
      </c>
      <c r="I33" s="387">
        <f>'GEN. O.H'!K108</f>
        <v>1403</v>
      </c>
      <c r="J33" s="387">
        <f>'GEN. O.H'!L108</f>
        <v>1403</v>
      </c>
      <c r="K33" s="387">
        <f>'GEN. O.H'!M108</f>
        <v>1403</v>
      </c>
      <c r="L33" s="387">
        <f>'GEN. O.H'!N108</f>
        <v>1403</v>
      </c>
      <c r="M33" s="387">
        <f>'GEN. O.H'!O108</f>
        <v>1403</v>
      </c>
      <c r="N33" s="387">
        <f>'GEN. O.H'!P108</f>
        <v>1403</v>
      </c>
      <c r="O33" s="387">
        <f>'GEN. O.H'!Q108</f>
        <v>1403</v>
      </c>
      <c r="P33" s="378">
        <f>SUM(D33:O33)</f>
        <v>16836</v>
      </c>
      <c r="Q33" s="532">
        <f t="shared" si="0"/>
        <v>3.3739478957915832E-3</v>
      </c>
    </row>
    <row r="34" spans="1:17">
      <c r="A34" s="26"/>
      <c r="B34" s="94"/>
      <c r="C34" s="94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388"/>
      <c r="Q34" s="532">
        <f t="shared" si="0"/>
        <v>0</v>
      </c>
    </row>
    <row r="35" spans="1:17" s="198" customFormat="1" ht="14.25">
      <c r="A35" s="19" t="s">
        <v>25</v>
      </c>
      <c r="B35" s="389">
        <f t="shared" ref="B35:O35" si="8">B26-B28-B32-B33</f>
        <v>-521783</v>
      </c>
      <c r="C35" s="534"/>
      <c r="D35" s="389">
        <f t="shared" si="8"/>
        <v>-22809.750818181845</v>
      </c>
      <c r="E35" s="389">
        <f t="shared" si="8"/>
        <v>-7754.7508181818448</v>
      </c>
      <c r="F35" s="389">
        <f t="shared" si="8"/>
        <v>-14484.750818181845</v>
      </c>
      <c r="G35" s="389">
        <f t="shared" si="8"/>
        <v>68890.249181818159</v>
      </c>
      <c r="H35" s="389">
        <f t="shared" si="8"/>
        <v>83765.249181818159</v>
      </c>
      <c r="I35" s="389">
        <f t="shared" si="8"/>
        <v>90765.249181818159</v>
      </c>
      <c r="J35" s="389">
        <f t="shared" si="8"/>
        <v>42390.249181818159</v>
      </c>
      <c r="K35" s="389">
        <f t="shared" si="8"/>
        <v>18265.249181818155</v>
      </c>
      <c r="L35" s="389">
        <f t="shared" si="8"/>
        <v>-55038.500818181841</v>
      </c>
      <c r="M35" s="389">
        <f t="shared" si="8"/>
        <v>-82913.500818181841</v>
      </c>
      <c r="N35" s="389">
        <f t="shared" si="8"/>
        <v>-35913.500818181841</v>
      </c>
      <c r="O35" s="389">
        <f t="shared" si="8"/>
        <v>-20888.500818181845</v>
      </c>
      <c r="P35" s="390">
        <f>P30-P32-P33</f>
        <v>64272.990181818313</v>
      </c>
      <c r="Q35" s="532">
        <f t="shared" si="0"/>
        <v>1.2880358753871406E-2</v>
      </c>
    </row>
    <row r="36" spans="1:17">
      <c r="A36" s="26"/>
      <c r="B36" s="94"/>
      <c r="C36" s="94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388"/>
      <c r="Q36" s="532">
        <f t="shared" si="0"/>
        <v>0</v>
      </c>
    </row>
    <row r="37" spans="1:17">
      <c r="A37" s="27" t="s">
        <v>26</v>
      </c>
      <c r="B37" s="536"/>
      <c r="C37" s="536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388"/>
      <c r="Q37" s="532">
        <f t="shared" si="0"/>
        <v>0</v>
      </c>
    </row>
    <row r="38" spans="1:17">
      <c r="A38" s="11" t="s">
        <v>27</v>
      </c>
      <c r="B38" s="81"/>
      <c r="C38" s="81"/>
      <c r="D38" s="387">
        <v>-4469375</v>
      </c>
      <c r="E38" s="163">
        <f t="shared" ref="E38:O38" si="9">D41</f>
        <v>-4492184.7508181818</v>
      </c>
      <c r="F38" s="163">
        <f t="shared" si="9"/>
        <v>-4499939.5016363636</v>
      </c>
      <c r="G38" s="163">
        <f t="shared" si="9"/>
        <v>-4514424.2524545453</v>
      </c>
      <c r="H38" s="163">
        <f t="shared" si="9"/>
        <v>-4445534.0032727271</v>
      </c>
      <c r="I38" s="163">
        <f t="shared" si="9"/>
        <v>-4361768.7540909089</v>
      </c>
      <c r="J38" s="163">
        <f t="shared" si="9"/>
        <v>-4271003.5049090907</v>
      </c>
      <c r="K38" s="163">
        <f t="shared" si="9"/>
        <v>-4228613.2557272725</v>
      </c>
      <c r="L38" s="163">
        <f t="shared" si="9"/>
        <v>-4210348.0065454543</v>
      </c>
      <c r="M38" s="163">
        <f t="shared" si="9"/>
        <v>-4265386.507363636</v>
      </c>
      <c r="N38" s="163">
        <f t="shared" si="9"/>
        <v>-4348300.0081818178</v>
      </c>
      <c r="O38" s="163">
        <f t="shared" si="9"/>
        <v>-4384213.5089999996</v>
      </c>
      <c r="P38" s="388">
        <f>D38</f>
        <v>-4469375</v>
      </c>
      <c r="Q38" s="532"/>
    </row>
    <row r="39" spans="1:17">
      <c r="A39" s="4" t="s">
        <v>28</v>
      </c>
      <c r="B39" s="21"/>
      <c r="C39" s="21"/>
      <c r="D39" s="163">
        <f t="shared" ref="D39:O39" si="10">D35</f>
        <v>-22809.750818181845</v>
      </c>
      <c r="E39" s="163">
        <f t="shared" si="10"/>
        <v>-7754.7508181818448</v>
      </c>
      <c r="F39" s="163">
        <f t="shared" si="10"/>
        <v>-14484.750818181845</v>
      </c>
      <c r="G39" s="163">
        <f t="shared" si="10"/>
        <v>68890.249181818159</v>
      </c>
      <c r="H39" s="163">
        <f t="shared" si="10"/>
        <v>83765.249181818159</v>
      </c>
      <c r="I39" s="163">
        <f t="shared" si="10"/>
        <v>90765.249181818159</v>
      </c>
      <c r="J39" s="163">
        <f t="shared" si="10"/>
        <v>42390.249181818159</v>
      </c>
      <c r="K39" s="163">
        <f t="shared" si="10"/>
        <v>18265.249181818155</v>
      </c>
      <c r="L39" s="163">
        <f t="shared" si="10"/>
        <v>-55038.500818181841</v>
      </c>
      <c r="M39" s="163">
        <f t="shared" si="10"/>
        <v>-82913.500818181841</v>
      </c>
      <c r="N39" s="163">
        <f t="shared" si="10"/>
        <v>-35913.500818181841</v>
      </c>
      <c r="O39" s="163">
        <f t="shared" si="10"/>
        <v>-20888.500818181845</v>
      </c>
      <c r="P39" s="378">
        <f>SUM(D39:O39)</f>
        <v>64272.990181817906</v>
      </c>
      <c r="Q39" s="532">
        <f t="shared" si="0"/>
        <v>1.2880358753871324E-2</v>
      </c>
    </row>
    <row r="40" spans="1:17">
      <c r="A40" s="4"/>
      <c r="B40" s="21"/>
      <c r="C40" s="21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388"/>
      <c r="Q40" s="532">
        <f t="shared" si="0"/>
        <v>0</v>
      </c>
    </row>
    <row r="41" spans="1:17" s="198" customFormat="1" ht="14.25">
      <c r="A41" s="19" t="s">
        <v>29</v>
      </c>
      <c r="B41" s="534"/>
      <c r="C41" s="534"/>
      <c r="D41" s="389">
        <f t="shared" ref="D41:P41" si="11">SUM(D38:D40)</f>
        <v>-4492184.7508181818</v>
      </c>
      <c r="E41" s="389">
        <f t="shared" si="11"/>
        <v>-4499939.5016363636</v>
      </c>
      <c r="F41" s="389">
        <f t="shared" si="11"/>
        <v>-4514424.2524545453</v>
      </c>
      <c r="G41" s="389">
        <f t="shared" si="11"/>
        <v>-4445534.0032727271</v>
      </c>
      <c r="H41" s="389">
        <f t="shared" si="11"/>
        <v>-4361768.7540909089</v>
      </c>
      <c r="I41" s="389">
        <f t="shared" si="11"/>
        <v>-4271003.5049090907</v>
      </c>
      <c r="J41" s="389">
        <f t="shared" si="11"/>
        <v>-4228613.2557272725</v>
      </c>
      <c r="K41" s="389">
        <f t="shared" si="11"/>
        <v>-4210348.0065454543</v>
      </c>
      <c r="L41" s="389">
        <f t="shared" si="11"/>
        <v>-4265386.507363636</v>
      </c>
      <c r="M41" s="389">
        <f t="shared" si="11"/>
        <v>-4348300.0081818178</v>
      </c>
      <c r="N41" s="389">
        <f t="shared" si="11"/>
        <v>-4384213.5089999996</v>
      </c>
      <c r="O41" s="389">
        <f t="shared" si="11"/>
        <v>-4405102.0098181814</v>
      </c>
      <c r="P41" s="390">
        <f t="shared" si="11"/>
        <v>-4405102.0098181823</v>
      </c>
      <c r="Q41" s="532"/>
    </row>
    <row r="42" spans="1:17"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</row>
    <row r="43" spans="1:17">
      <c r="A43" t="s">
        <v>835</v>
      </c>
      <c r="D43" s="185">
        <f>+D9/D3</f>
        <v>0.63321428571428573</v>
      </c>
      <c r="E43" s="185">
        <f t="shared" ref="E43:P43" si="12">+E9/E3</f>
        <v>0.6313333333333333</v>
      </c>
      <c r="F43" s="185">
        <f t="shared" si="12"/>
        <v>0.63255813953488371</v>
      </c>
      <c r="G43" s="185">
        <f t="shared" si="12"/>
        <v>0.62846534653465347</v>
      </c>
      <c r="H43" s="185">
        <f t="shared" si="12"/>
        <v>0.62735849056603776</v>
      </c>
      <c r="I43" s="185">
        <f t="shared" si="12"/>
        <v>0.63084112149532712</v>
      </c>
      <c r="J43" s="185">
        <f t="shared" si="12"/>
        <v>0.63104395604395602</v>
      </c>
      <c r="K43" s="185">
        <f t="shared" si="12"/>
        <v>0.62380952380952381</v>
      </c>
      <c r="L43" s="185">
        <f t="shared" si="12"/>
        <v>0.62968749999999996</v>
      </c>
      <c r="M43" s="185">
        <f t="shared" si="12"/>
        <v>0.62789855072463763</v>
      </c>
      <c r="N43" s="185">
        <f t="shared" si="12"/>
        <v>0.63321428571428573</v>
      </c>
      <c r="O43" s="185">
        <f t="shared" si="12"/>
        <v>0.6313333333333333</v>
      </c>
      <c r="P43" s="185">
        <f t="shared" si="12"/>
        <v>0.62993486973947899</v>
      </c>
    </row>
    <row r="44" spans="1:17"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</row>
    <row r="45" spans="1:17"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</row>
    <row r="46" spans="1:17">
      <c r="A46" t="s">
        <v>833</v>
      </c>
      <c r="D46" s="163">
        <f>+(D20+D28)/D43</f>
        <v>343477.15270471212</v>
      </c>
      <c r="E46" s="163">
        <f t="shared" ref="E46:P46" si="13">+(E20+E28)/E43</f>
        <v>344611.36205241439</v>
      </c>
      <c r="F46" s="163">
        <f t="shared" si="13"/>
        <v>410309.54103275406</v>
      </c>
      <c r="G46" s="163">
        <f t="shared" si="13"/>
        <v>352516.87484550115</v>
      </c>
      <c r="H46" s="163">
        <f>+(H20+H28)/H43</f>
        <v>353537.32075734797</v>
      </c>
      <c r="I46" s="163">
        <f t="shared" si="13"/>
        <v>348415.20696700341</v>
      </c>
      <c r="J46" s="163">
        <f t="shared" si="13"/>
        <v>345133.86559385766</v>
      </c>
      <c r="K46" s="163">
        <f t="shared" si="13"/>
        <v>347533.39222068014</v>
      </c>
      <c r="L46" s="163">
        <f>+(L20+L28)/L43</f>
        <v>364622.75320550427</v>
      </c>
      <c r="M46" s="163">
        <f t="shared" si="13"/>
        <v>434144.00239416678</v>
      </c>
      <c r="N46" s="163">
        <f>+(N20+N28)/N43</f>
        <v>364171.17413731222</v>
      </c>
      <c r="O46" s="163">
        <f t="shared" si="13"/>
        <v>365414.55635019689</v>
      </c>
      <c r="P46" s="163">
        <f t="shared" si="13"/>
        <v>4374770.8077325681</v>
      </c>
      <c r="Q46" s="163"/>
    </row>
    <row r="47" spans="1:17"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</row>
    <row r="48" spans="1:17"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</row>
    <row r="49" spans="1:16"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</row>
    <row r="50" spans="1:16">
      <c r="A50" t="s">
        <v>834</v>
      </c>
      <c r="D50" s="163">
        <f>+(D20+D28+D32+D33)/D43</f>
        <v>386022.16711275192</v>
      </c>
      <c r="E50" s="163">
        <f t="shared" ref="E50:P50" si="14">+(E20+E28+E32+E33)/E43</f>
        <v>387283.13223576848</v>
      </c>
      <c r="F50" s="163">
        <f t="shared" si="14"/>
        <v>452898.68695521395</v>
      </c>
      <c r="G50" s="163">
        <f t="shared" si="14"/>
        <v>395383.37664649653</v>
      </c>
      <c r="H50" s="163">
        <f>+(H20+H28+H32+H33)/H43</f>
        <v>396479.45243198908</v>
      </c>
      <c r="I50" s="163">
        <f t="shared" si="14"/>
        <v>391120.27166734007</v>
      </c>
      <c r="J50" s="163">
        <f t="shared" si="14"/>
        <v>387825.20373451541</v>
      </c>
      <c r="K50" s="163">
        <f>+(K20+K28+K32+K33)/K43</f>
        <v>390719.82955586404</v>
      </c>
      <c r="L50" s="163">
        <f t="shared" si="14"/>
        <v>407406.05588991661</v>
      </c>
      <c r="M50" s="163">
        <f>+(M20+M28+M32+M33)/M43</f>
        <v>477049.19922572532</v>
      </c>
      <c r="N50" s="163">
        <f t="shared" si="14"/>
        <v>406716.18854535202</v>
      </c>
      <c r="O50" s="163">
        <f t="shared" si="14"/>
        <v>408086.32653355098</v>
      </c>
      <c r="P50" s="163">
        <f t="shared" si="14"/>
        <v>4887968.8325423235</v>
      </c>
    </row>
    <row r="54" spans="1:16" hidden="1">
      <c r="A54" t="s">
        <v>801</v>
      </c>
      <c r="D54" t="s">
        <v>811</v>
      </c>
      <c r="E54" t="s">
        <v>755</v>
      </c>
      <c r="F54" t="s">
        <v>812</v>
      </c>
    </row>
    <row r="55" spans="1:16" hidden="1">
      <c r="A55" t="s">
        <v>802</v>
      </c>
      <c r="D55">
        <v>3239475</v>
      </c>
      <c r="E55">
        <v>389962</v>
      </c>
      <c r="F55">
        <f>+D55-E55</f>
        <v>2849513</v>
      </c>
    </row>
    <row r="56" spans="1:16" hidden="1">
      <c r="A56" t="s">
        <v>803</v>
      </c>
      <c r="D56">
        <v>1288651</v>
      </c>
      <c r="E56">
        <v>218679</v>
      </c>
      <c r="F56">
        <f>+D56-E56+21800</f>
        <v>1091772</v>
      </c>
    </row>
    <row r="57" spans="1:16">
      <c r="D57" s="533">
        <f>+D56/D55</f>
        <v>0.39779624784880269</v>
      </c>
      <c r="E57" s="533">
        <f>+E56/E55</f>
        <v>0.56077002374590346</v>
      </c>
      <c r="F57" s="533">
        <f>+F56/F55</f>
        <v>0.38314336519959724</v>
      </c>
      <c r="G57" s="30"/>
    </row>
    <row r="61" spans="1:16">
      <c r="A61" s="30"/>
      <c r="B61" s="30"/>
      <c r="C61" s="30"/>
    </row>
    <row r="65" spans="1:3">
      <c r="A65" s="30"/>
      <c r="B65" s="30"/>
      <c r="C65" s="30"/>
    </row>
    <row r="68" spans="1:3">
      <c r="A68" s="30"/>
      <c r="B68" s="30"/>
      <c r="C68" s="30"/>
    </row>
    <row r="71" spans="1:3">
      <c r="A71" s="30"/>
      <c r="B71" s="30"/>
      <c r="C71" s="30"/>
    </row>
    <row r="72" spans="1:3">
      <c r="A72" s="63"/>
      <c r="B72" s="63"/>
      <c r="C72" s="63"/>
    </row>
    <row r="73" spans="1:3">
      <c r="A73" s="63"/>
      <c r="B73" s="63"/>
      <c r="C73" s="63"/>
    </row>
    <row r="76" spans="1:3">
      <c r="A76" s="30"/>
      <c r="B76" s="30"/>
      <c r="C76" s="30"/>
    </row>
    <row r="77" spans="1:3">
      <c r="A77" s="63"/>
      <c r="B77" s="63"/>
      <c r="C77" s="63"/>
    </row>
    <row r="83" spans="1:3">
      <c r="A83" s="30"/>
      <c r="B83" s="30"/>
      <c r="C83" s="30"/>
    </row>
  </sheetData>
  <mergeCells count="1">
    <mergeCell ref="B1:C1"/>
  </mergeCells>
  <phoneticPr fontId="0" type="noConversion"/>
  <printOptions horizontalCentered="1" verticalCentered="1" gridLines="1"/>
  <pageMargins left="0.36" right="0.24" top="1.62" bottom="0.61" header="0.77" footer="0.32"/>
  <pageSetup paperSize="9" scale="64" firstPageNumber="5" orientation="landscape" useFirstPageNumber="1" r:id="rId1"/>
  <headerFooter alignWithMargins="0">
    <oddHeader>&amp;L&amp;D
&amp;T&amp;C&amp;"Arial,Bold"
EXECUTRAIN - DUBAI
Budget for the period Jan.03 to Dec.03
&amp;"Arial,Regular"
&amp;"Arial,Bold"Monthly Profit and Loss Statement&amp;R&amp;F</oddHeader>
    <oddFooter>&amp;CPage 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P38"/>
  <sheetViews>
    <sheetView showZero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1" sqref="A21"/>
    </sheetView>
  </sheetViews>
  <sheetFormatPr defaultRowHeight="12.75"/>
  <cols>
    <col min="2" max="2" width="19.28515625" customWidth="1"/>
    <col min="3" max="4" width="10.5703125" customWidth="1"/>
    <col min="5" max="5" width="11.140625" customWidth="1"/>
    <col min="6" max="6" width="10.5703125" customWidth="1"/>
    <col min="7" max="14" width="10.85546875" customWidth="1"/>
    <col min="15" max="15" width="11.7109375" customWidth="1"/>
    <col min="16" max="16" width="9.7109375" bestFit="1" customWidth="1"/>
  </cols>
  <sheetData>
    <row r="1" spans="1:16" s="30" customFormat="1">
      <c r="A1" s="302" t="s">
        <v>41</v>
      </c>
      <c r="B1" s="302" t="s">
        <v>42</v>
      </c>
      <c r="C1" s="324">
        <v>37622</v>
      </c>
      <c r="D1" s="324">
        <v>37653</v>
      </c>
      <c r="E1" s="324">
        <v>37681</v>
      </c>
      <c r="F1" s="324">
        <v>37712</v>
      </c>
      <c r="G1" s="324">
        <v>37742</v>
      </c>
      <c r="H1" s="324">
        <v>37773</v>
      </c>
      <c r="I1" s="324">
        <v>37803</v>
      </c>
      <c r="J1" s="324">
        <v>37834</v>
      </c>
      <c r="K1" s="324">
        <v>37865</v>
      </c>
      <c r="L1" s="324">
        <v>37895</v>
      </c>
      <c r="M1" s="324">
        <v>37926</v>
      </c>
      <c r="N1" s="324">
        <v>37956</v>
      </c>
      <c r="O1" s="325" t="s">
        <v>5</v>
      </c>
    </row>
    <row r="2" spans="1:16">
      <c r="B2" s="197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110"/>
    </row>
    <row r="3" spans="1:16">
      <c r="A3" s="29"/>
    </row>
    <row r="4" spans="1:16">
      <c r="A4" s="29"/>
      <c r="B4" t="s">
        <v>247</v>
      </c>
      <c r="C4" s="163">
        <v>180337</v>
      </c>
      <c r="D4" s="163">
        <f>C23</f>
        <v>6642.9817575757625</v>
      </c>
      <c r="E4" s="163">
        <f>D23</f>
        <v>56199.963515151467</v>
      </c>
      <c r="F4" s="163">
        <f>E23</f>
        <v>197878.94527272729</v>
      </c>
      <c r="G4" s="163">
        <f>F23</f>
        <v>221986.92703030305</v>
      </c>
      <c r="H4" s="163">
        <f>G23</f>
        <v>270319.90878787881</v>
      </c>
      <c r="I4" s="163">
        <f>+H23</f>
        <v>214967.89054545446</v>
      </c>
      <c r="J4" s="163">
        <f>+I23</f>
        <v>225005.87230303022</v>
      </c>
      <c r="K4" s="163">
        <f>J23</f>
        <v>283088.85406060598</v>
      </c>
      <c r="L4" s="163">
        <f>K23</f>
        <v>277292.83581818175</v>
      </c>
      <c r="M4" s="163">
        <f>L23</f>
        <v>120294.81757575745</v>
      </c>
      <c r="N4" s="163">
        <f>M23</f>
        <v>124061.79933333321</v>
      </c>
      <c r="O4" s="163">
        <f>C4</f>
        <v>180337</v>
      </c>
    </row>
    <row r="5" spans="1:16">
      <c r="A5" s="29"/>
      <c r="B5" s="32" t="s">
        <v>248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6">
      <c r="A6" s="29"/>
      <c r="B6" t="s">
        <v>249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>
        <f>SUM(C6:N6)</f>
        <v>0</v>
      </c>
    </row>
    <row r="7" spans="1:16">
      <c r="A7" s="29"/>
      <c r="B7" t="s">
        <v>711</v>
      </c>
      <c r="C7" s="163">
        <f>+CostFlow!C188</f>
        <v>25000</v>
      </c>
      <c r="D7" s="163">
        <f>+CostFlow!D188</f>
        <v>25000</v>
      </c>
      <c r="E7" s="163">
        <f>+CostFlow!E188</f>
        <v>30000</v>
      </c>
      <c r="F7" s="163">
        <f>+CostFlow!F188</f>
        <v>30000</v>
      </c>
      <c r="G7" s="163">
        <f>+CostFlow!G188</f>
        <v>30000</v>
      </c>
      <c r="H7" s="163">
        <f>+CostFlow!H188</f>
        <v>35000</v>
      </c>
      <c r="I7" s="163">
        <f>+CostFlow!I188</f>
        <v>30000</v>
      </c>
      <c r="J7" s="163">
        <f>+CostFlow!J188</f>
        <v>20000</v>
      </c>
      <c r="K7" s="163">
        <f>+CostFlow!K188</f>
        <v>20000</v>
      </c>
      <c r="L7" s="163">
        <f>+CostFlow!L188</f>
        <v>20000</v>
      </c>
      <c r="M7" s="163">
        <f>+CostFlow!M188</f>
        <v>25000</v>
      </c>
      <c r="N7" s="163">
        <f>+CostFlow!N188</f>
        <v>25000</v>
      </c>
      <c r="O7" s="163">
        <f>SUM(C7:N7)</f>
        <v>315000</v>
      </c>
    </row>
    <row r="8" spans="1:16">
      <c r="A8" s="29"/>
      <c r="B8" t="s">
        <v>250</v>
      </c>
      <c r="C8" s="163">
        <f>+CostFlow!C237</f>
        <v>175000</v>
      </c>
      <c r="D8" s="163">
        <f>+CostFlow!D237</f>
        <v>487500</v>
      </c>
      <c r="E8" s="163">
        <f>+CostFlow!E237</f>
        <v>627500</v>
      </c>
      <c r="F8" s="163">
        <f>+CostFlow!F237</f>
        <v>437500</v>
      </c>
      <c r="G8" s="163">
        <f>+CostFlow!G237</f>
        <v>487500</v>
      </c>
      <c r="H8" s="163">
        <f>+CostFlow!H237</f>
        <v>502500</v>
      </c>
      <c r="I8" s="163">
        <f>+CostFlow!I237</f>
        <v>460000</v>
      </c>
      <c r="J8" s="163">
        <f>+CostFlow!J237</f>
        <v>407500</v>
      </c>
      <c r="K8" s="163">
        <f>+CostFlow!K237</f>
        <v>350000</v>
      </c>
      <c r="L8" s="163">
        <f>+CostFlow!L237</f>
        <v>312500</v>
      </c>
      <c r="M8" s="163">
        <f>+CostFlow!M237</f>
        <v>327500</v>
      </c>
      <c r="N8" s="163">
        <f>+CostFlow!N237</f>
        <v>337500</v>
      </c>
      <c r="O8" s="163">
        <f>SUM(C8:N8)</f>
        <v>4912500</v>
      </c>
    </row>
    <row r="9" spans="1:16">
      <c r="A9" s="29"/>
      <c r="B9" t="s">
        <v>251</v>
      </c>
      <c r="C9" s="163">
        <v>0</v>
      </c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>
        <f>SUM(C9:N9)</f>
        <v>0</v>
      </c>
    </row>
    <row r="10" spans="1:16">
      <c r="A10" s="29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>
        <f>SUM(C10:N10)</f>
        <v>0</v>
      </c>
      <c r="P10" s="163"/>
    </row>
    <row r="11" spans="1:16" s="165" customFormat="1">
      <c r="A11" s="47"/>
      <c r="B11" s="94" t="s">
        <v>252</v>
      </c>
      <c r="C11" s="173">
        <f t="shared" ref="C11:O11" si="0">SUM(C6:C9)</f>
        <v>200000</v>
      </c>
      <c r="D11" s="173">
        <f t="shared" si="0"/>
        <v>512500</v>
      </c>
      <c r="E11" s="173">
        <f t="shared" si="0"/>
        <v>657500</v>
      </c>
      <c r="F11" s="173">
        <f t="shared" si="0"/>
        <v>467500</v>
      </c>
      <c r="G11" s="173">
        <f t="shared" si="0"/>
        <v>517500</v>
      </c>
      <c r="H11" s="173">
        <f t="shared" si="0"/>
        <v>537500</v>
      </c>
      <c r="I11" s="173">
        <f t="shared" si="0"/>
        <v>490000</v>
      </c>
      <c r="J11" s="173">
        <f t="shared" si="0"/>
        <v>427500</v>
      </c>
      <c r="K11" s="173">
        <f t="shared" si="0"/>
        <v>370000</v>
      </c>
      <c r="L11" s="173">
        <f t="shared" si="0"/>
        <v>332500</v>
      </c>
      <c r="M11" s="173">
        <f t="shared" si="0"/>
        <v>352500</v>
      </c>
      <c r="N11" s="173">
        <f t="shared" si="0"/>
        <v>362500</v>
      </c>
      <c r="O11" s="173">
        <f t="shared" si="0"/>
        <v>5227500</v>
      </c>
    </row>
    <row r="12" spans="1:16">
      <c r="A12" s="29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</row>
    <row r="13" spans="1:16">
      <c r="A13" s="29"/>
      <c r="B13" s="32" t="s">
        <v>253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</row>
    <row r="14" spans="1:16" ht="16.5">
      <c r="A14" s="29"/>
      <c r="B14" s="199" t="s">
        <v>254</v>
      </c>
      <c r="C14" s="163">
        <v>16000</v>
      </c>
      <c r="D14" s="163">
        <v>18000</v>
      </c>
      <c r="E14" s="163">
        <v>35000</v>
      </c>
      <c r="F14" s="163"/>
      <c r="G14" s="163"/>
      <c r="H14" s="163"/>
      <c r="I14" s="163"/>
      <c r="J14" s="163"/>
      <c r="K14" s="163"/>
      <c r="L14" s="163"/>
      <c r="M14" s="163"/>
      <c r="N14" s="163"/>
      <c r="O14" s="163">
        <f>SUM(C14:N14)</f>
        <v>69000</v>
      </c>
    </row>
    <row r="15" spans="1:16">
      <c r="A15" s="29"/>
      <c r="B15" t="s">
        <v>8</v>
      </c>
      <c r="C15" s="163">
        <f>+CostFlow!C171</f>
        <v>29000</v>
      </c>
      <c r="D15" s="163">
        <f>+CostFlow!D171</f>
        <v>128375</v>
      </c>
      <c r="E15" s="163">
        <f>+CostFlow!E171</f>
        <v>138250</v>
      </c>
      <c r="F15" s="163">
        <f>+CostFlow!F171</f>
        <v>158000</v>
      </c>
      <c r="G15" s="163">
        <f>+CostFlow!G171</f>
        <v>187625</v>
      </c>
      <c r="H15" s="163">
        <f>+CostFlow!H171</f>
        <v>197500</v>
      </c>
      <c r="I15" s="163">
        <f>+CostFlow!I171</f>
        <v>197500</v>
      </c>
      <c r="J15" s="163">
        <f>+CostFlow!J171</f>
        <v>167875</v>
      </c>
      <c r="K15" s="163">
        <f>+CostFlow!K171</f>
        <v>158000</v>
      </c>
      <c r="L15" s="163">
        <f>+CostFlow!L171</f>
        <v>118500</v>
      </c>
      <c r="M15" s="163">
        <f>+CostFlow!M171</f>
        <v>128375</v>
      </c>
      <c r="N15" s="163">
        <f>+CostFlow!N171</f>
        <v>128375</v>
      </c>
      <c r="O15" s="163">
        <f>SUM(C15:N15)</f>
        <v>1737375</v>
      </c>
    </row>
    <row r="16" spans="1:16">
      <c r="A16" s="29"/>
      <c r="B16" t="s">
        <v>255</v>
      </c>
      <c r="C16" s="314">
        <f>+CostFlow!C83-CostFlow!C51-CostFlow!C44</f>
        <v>203694.01824242427</v>
      </c>
      <c r="D16" s="314">
        <f>+CostFlow!D83-CostFlow!D51-CostFlow!D44</f>
        <v>291568.0182424243</v>
      </c>
      <c r="E16" s="314">
        <f>+CostFlow!E83-CostFlow!E51-CostFlow!E44</f>
        <v>242571.01824242427</v>
      </c>
      <c r="F16" s="314">
        <f>+CostFlow!F83-CostFlow!F51-CostFlow!F44</f>
        <v>185392.01824242427</v>
      </c>
      <c r="G16" s="314">
        <f>+CostFlow!G83-CostFlow!G51-CostFlow!G44</f>
        <v>181542.01824242427</v>
      </c>
      <c r="H16" s="314">
        <f>+CostFlow!H83-CostFlow!H51-CostFlow!H44</f>
        <v>295352.0182424243</v>
      </c>
      <c r="I16" s="314">
        <f>+CostFlow!I83-CostFlow!I51-CostFlow!I44</f>
        <v>182462.01824242427</v>
      </c>
      <c r="J16" s="314">
        <f>+CostFlow!J83-CostFlow!J51-CostFlow!J44</f>
        <v>176542.01824242427</v>
      </c>
      <c r="K16" s="314">
        <f>+CostFlow!K83-CostFlow!K51-CostFlow!K44</f>
        <v>192796.01824242427</v>
      </c>
      <c r="L16" s="314">
        <f>+CostFlow!L83-CostFlow!L51-CostFlow!L44</f>
        <v>345998.0182424243</v>
      </c>
      <c r="M16" s="314">
        <f>+CostFlow!M83-CostFlow!M51-CostFlow!M44</f>
        <v>195358.01824242427</v>
      </c>
      <c r="N16" s="314">
        <f>+CostFlow!N83-CostFlow!N51-CostFlow!N44</f>
        <v>191396.01824242427</v>
      </c>
      <c r="O16" s="163">
        <f>SUM(C16:N16)</f>
        <v>2684671.2189090918</v>
      </c>
    </row>
    <row r="17" spans="1:16">
      <c r="A17" s="29"/>
      <c r="B17" t="s">
        <v>298</v>
      </c>
      <c r="C17" s="163">
        <v>100000</v>
      </c>
      <c r="D17" s="163"/>
      <c r="E17" s="163">
        <v>75000</v>
      </c>
      <c r="F17" s="163">
        <v>75000</v>
      </c>
      <c r="G17" s="163">
        <v>75000</v>
      </c>
      <c r="H17" s="163">
        <v>75000</v>
      </c>
      <c r="I17" s="163">
        <v>75000</v>
      </c>
      <c r="J17" s="163"/>
      <c r="K17" s="163"/>
      <c r="L17" s="163"/>
      <c r="M17" s="163"/>
      <c r="N17" s="163"/>
      <c r="O17" s="163">
        <f>SUM(C17:N17)</f>
        <v>475000</v>
      </c>
    </row>
    <row r="18" spans="1:16">
      <c r="A18" s="29"/>
      <c r="B18" s="63" t="s">
        <v>99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</row>
    <row r="19" spans="1:16">
      <c r="A19" s="29"/>
      <c r="B19" t="s">
        <v>256</v>
      </c>
      <c r="C19" s="163">
        <v>25000</v>
      </c>
      <c r="D19" s="163">
        <v>25000</v>
      </c>
      <c r="E19" s="163">
        <v>25000</v>
      </c>
      <c r="F19" s="163">
        <v>25000</v>
      </c>
      <c r="G19" s="163">
        <v>25000</v>
      </c>
      <c r="H19" s="163">
        <v>25000</v>
      </c>
      <c r="I19" s="163">
        <v>25000</v>
      </c>
      <c r="J19" s="163">
        <v>25000</v>
      </c>
      <c r="K19" s="163">
        <v>25000</v>
      </c>
      <c r="L19" s="163">
        <v>25000</v>
      </c>
      <c r="M19" s="163">
        <v>25000</v>
      </c>
      <c r="N19" s="163">
        <v>25000</v>
      </c>
      <c r="O19" s="163">
        <f>SUM(C19:N19)</f>
        <v>300000</v>
      </c>
    </row>
    <row r="20" spans="1:16">
      <c r="A20" s="29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</row>
    <row r="21" spans="1:16" s="165" customFormat="1">
      <c r="A21" s="47"/>
      <c r="B21" s="94" t="s">
        <v>257</v>
      </c>
      <c r="C21" s="173">
        <f t="shared" ref="C21:N21" si="1">SUM(C14:C19)</f>
        <v>373694.01824242424</v>
      </c>
      <c r="D21" s="173">
        <f t="shared" si="1"/>
        <v>462943.0182424243</v>
      </c>
      <c r="E21" s="173">
        <f t="shared" si="1"/>
        <v>515821.01824242424</v>
      </c>
      <c r="F21" s="173">
        <f t="shared" si="1"/>
        <v>443392.01824242424</v>
      </c>
      <c r="G21" s="173">
        <f t="shared" si="1"/>
        <v>469167.01824242424</v>
      </c>
      <c r="H21" s="173">
        <f t="shared" si="1"/>
        <v>592852.01824242435</v>
      </c>
      <c r="I21" s="173">
        <f t="shared" si="1"/>
        <v>479962.01824242424</v>
      </c>
      <c r="J21" s="173">
        <f t="shared" si="1"/>
        <v>369417.01824242424</v>
      </c>
      <c r="K21" s="173">
        <f t="shared" si="1"/>
        <v>375796.01824242424</v>
      </c>
      <c r="L21" s="173">
        <f t="shared" si="1"/>
        <v>489498.0182424243</v>
      </c>
      <c r="M21" s="173">
        <f t="shared" si="1"/>
        <v>348733.01824242424</v>
      </c>
      <c r="N21" s="173">
        <f t="shared" si="1"/>
        <v>344771.01824242424</v>
      </c>
      <c r="O21" s="173">
        <f>SUM(C21:N21)</f>
        <v>5266046.2189090913</v>
      </c>
    </row>
    <row r="22" spans="1:16">
      <c r="A22" s="29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</row>
    <row r="23" spans="1:16" s="30" customFormat="1">
      <c r="A23" s="31"/>
      <c r="B23" s="94" t="s">
        <v>258</v>
      </c>
      <c r="C23" s="182">
        <f t="shared" ref="C23:O23" si="2">C4+C11-C21</f>
        <v>6642.9817575757625</v>
      </c>
      <c r="D23" s="182">
        <f t="shared" si="2"/>
        <v>56199.963515151467</v>
      </c>
      <c r="E23" s="182">
        <f t="shared" si="2"/>
        <v>197878.94527272729</v>
      </c>
      <c r="F23" s="182">
        <f t="shared" si="2"/>
        <v>221986.92703030305</v>
      </c>
      <c r="G23" s="182">
        <f t="shared" si="2"/>
        <v>270319.90878787881</v>
      </c>
      <c r="H23" s="182">
        <f t="shared" si="2"/>
        <v>214967.89054545446</v>
      </c>
      <c r="I23" s="182">
        <f t="shared" si="2"/>
        <v>225005.87230303022</v>
      </c>
      <c r="J23" s="182">
        <f t="shared" si="2"/>
        <v>283088.85406060598</v>
      </c>
      <c r="K23" s="182">
        <f t="shared" si="2"/>
        <v>277292.83581818175</v>
      </c>
      <c r="L23" s="182">
        <f t="shared" si="2"/>
        <v>120294.81757575745</v>
      </c>
      <c r="M23" s="182">
        <f t="shared" si="2"/>
        <v>124061.79933333321</v>
      </c>
      <c r="N23" s="182">
        <f t="shared" si="2"/>
        <v>141790.78109090897</v>
      </c>
      <c r="O23" s="182">
        <f t="shared" si="2"/>
        <v>141790.78109090868</v>
      </c>
    </row>
    <row r="24" spans="1:16">
      <c r="A24" s="29"/>
      <c r="B24" s="21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</row>
    <row r="25" spans="1:16">
      <c r="A25" s="29"/>
      <c r="B25" s="30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</row>
    <row r="26" spans="1:16">
      <c r="A26" s="29"/>
      <c r="B26" t="s">
        <v>839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</row>
    <row r="27" spans="1:16">
      <c r="A27" s="29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</row>
    <row r="28" spans="1:16">
      <c r="A28" s="29"/>
      <c r="B28" t="s">
        <v>843</v>
      </c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</row>
    <row r="29" spans="1:16">
      <c r="A29" s="29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</row>
    <row r="30" spans="1:16">
      <c r="A30" s="29"/>
    </row>
    <row r="31" spans="1:16">
      <c r="A31" s="29"/>
    </row>
    <row r="32" spans="1:16">
      <c r="A32" s="29"/>
    </row>
    <row r="33" spans="1:2">
      <c r="A33" s="29"/>
    </row>
    <row r="34" spans="1:2">
      <c r="A34" s="29"/>
    </row>
    <row r="35" spans="1:2">
      <c r="A35" s="29"/>
    </row>
    <row r="36" spans="1:2">
      <c r="A36" s="29"/>
    </row>
    <row r="38" spans="1:2">
      <c r="B38" s="32"/>
    </row>
  </sheetData>
  <phoneticPr fontId="0" type="noConversion"/>
  <printOptions gridLines="1"/>
  <pageMargins left="0.75" right="0.75" top="1.5" bottom="1" header="0.5" footer="0.5"/>
  <pageSetup scale="72" firstPageNumber="5" orientation="landscape" useFirstPageNumber="1" r:id="rId1"/>
  <headerFooter alignWithMargins="0">
    <oddHeader xml:space="preserve">&amp;C&amp;"Arial,Bold"EXECUTRAIN - DUBAI
Budget for the period Jan 03 to Dec.03
Cashflow Statement&amp;"Arial,Regular"
</oddHeader>
    <oddFooter>&amp;CPage 3</oddFooter>
  </headerFooter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8"/>
  <dimension ref="A1:AW264"/>
  <sheetViews>
    <sheetView showZeros="0" workbookViewId="0">
      <pane xSplit="3" ySplit="2" topLeftCell="D3" activePane="bottomRight" state="frozen"/>
      <selection activeCell="A18" sqref="A18"/>
      <selection pane="topRight" activeCell="A18" sqref="A18"/>
      <selection pane="bottomLeft" activeCell="A18" sqref="A18"/>
      <selection pane="bottomRight" activeCell="C142" sqref="C142"/>
    </sheetView>
  </sheetViews>
  <sheetFormatPr defaultRowHeight="12.75"/>
  <cols>
    <col min="1" max="1" width="6.140625" hidden="1" customWidth="1"/>
    <col min="2" max="2" width="7" customWidth="1"/>
    <col min="3" max="3" width="26.28515625" customWidth="1"/>
    <col min="4" max="4" width="10.7109375" style="163" hidden="1" customWidth="1"/>
    <col min="5" max="5" width="11" hidden="1" customWidth="1"/>
    <col min="7" max="8" width="9" customWidth="1"/>
    <col min="9" max="9" width="8.85546875" customWidth="1"/>
    <col min="10" max="10" width="9.28515625" customWidth="1"/>
    <col min="14" max="16" width="13.28515625" bestFit="1" customWidth="1"/>
    <col min="17" max="17" width="13.42578125" bestFit="1" customWidth="1"/>
    <col min="18" max="18" width="10.42578125" customWidth="1"/>
    <col min="19" max="19" width="8.5703125" customWidth="1"/>
    <col min="20" max="20" width="6.85546875" customWidth="1"/>
    <col min="21" max="21" width="7.42578125" customWidth="1"/>
    <col min="22" max="22" width="11.140625" customWidth="1"/>
    <col min="23" max="23" width="12.28515625" bestFit="1" customWidth="1"/>
    <col min="24" max="25" width="9.28515625" bestFit="1" customWidth="1"/>
  </cols>
  <sheetData>
    <row r="1" spans="1:22">
      <c r="B1" s="64" t="s">
        <v>41</v>
      </c>
      <c r="C1" s="65" t="s">
        <v>42</v>
      </c>
      <c r="D1" s="168"/>
      <c r="E1" s="66" t="s">
        <v>798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7"/>
      <c r="S1" s="68" t="s">
        <v>43</v>
      </c>
      <c r="T1" s="68" t="s">
        <v>43</v>
      </c>
      <c r="U1" s="68" t="s">
        <v>43</v>
      </c>
      <c r="V1" s="67" t="s">
        <v>5</v>
      </c>
    </row>
    <row r="2" spans="1:22">
      <c r="B2" s="41"/>
      <c r="C2" s="65"/>
      <c r="D2" s="168"/>
      <c r="E2" s="66" t="s">
        <v>44</v>
      </c>
      <c r="F2" s="69">
        <v>37622</v>
      </c>
      <c r="G2" s="69">
        <v>37653</v>
      </c>
      <c r="H2" s="69">
        <v>37681</v>
      </c>
      <c r="I2" s="69">
        <v>37712</v>
      </c>
      <c r="J2" s="69">
        <v>37742</v>
      </c>
      <c r="K2" s="69">
        <v>37773</v>
      </c>
      <c r="L2" s="69">
        <v>37803</v>
      </c>
      <c r="M2" s="69">
        <v>37834</v>
      </c>
      <c r="N2" s="69">
        <v>37865</v>
      </c>
      <c r="O2" s="69">
        <v>37895</v>
      </c>
      <c r="P2" s="69">
        <v>37926</v>
      </c>
      <c r="Q2" s="69">
        <v>37956</v>
      </c>
      <c r="R2" s="67" t="s">
        <v>5</v>
      </c>
      <c r="S2" s="68" t="s">
        <v>45</v>
      </c>
      <c r="T2" s="68" t="s">
        <v>46</v>
      </c>
      <c r="U2" s="68" t="s">
        <v>47</v>
      </c>
      <c r="V2" s="67" t="s">
        <v>48</v>
      </c>
    </row>
    <row r="3" spans="1:22">
      <c r="B3" s="41"/>
      <c r="C3" s="70" t="s">
        <v>49</v>
      </c>
      <c r="D3" s="169"/>
      <c r="E3" s="65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7"/>
      <c r="S3" s="71"/>
      <c r="T3" s="71"/>
      <c r="U3" s="71"/>
      <c r="V3" s="72"/>
    </row>
    <row r="4" spans="1:22">
      <c r="B4" s="73"/>
      <c r="C4" s="65" t="s">
        <v>11</v>
      </c>
      <c r="D4" s="168"/>
      <c r="E4" s="65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6"/>
      <c r="T4" s="76"/>
      <c r="U4" s="76"/>
    </row>
    <row r="5" spans="1:22">
      <c r="A5" t="s">
        <v>50</v>
      </c>
      <c r="B5" s="73">
        <v>1</v>
      </c>
      <c r="C5" s="11" t="s">
        <v>51</v>
      </c>
      <c r="D5" s="170"/>
      <c r="E5" s="170"/>
      <c r="F5" s="14">
        <f>'Staff requirements'!O40</f>
        <v>98050</v>
      </c>
      <c r="G5" s="14">
        <f>'Staff requirements'!P40</f>
        <v>98050</v>
      </c>
      <c r="H5" s="14">
        <f>'Staff requirements'!Q40</f>
        <v>98050</v>
      </c>
      <c r="I5" s="14">
        <f>'Staff requirements'!R40</f>
        <v>98050</v>
      </c>
      <c r="J5" s="14">
        <f>'Staff requirements'!S40</f>
        <v>98050</v>
      </c>
      <c r="K5" s="14">
        <f>'Staff requirements'!T40</f>
        <v>98050</v>
      </c>
      <c r="L5" s="14">
        <f>'Staff requirements'!U40</f>
        <v>98050</v>
      </c>
      <c r="M5" s="14">
        <f>'Staff requirements'!V40</f>
        <v>98050</v>
      </c>
      <c r="N5" s="14">
        <f>'Staff requirements'!W40</f>
        <v>110550</v>
      </c>
      <c r="O5" s="14">
        <f>'Staff requirements'!X40</f>
        <v>110550</v>
      </c>
      <c r="P5" s="14">
        <f>'Staff requirements'!Y40</f>
        <v>110550</v>
      </c>
      <c r="Q5" s="14">
        <f>'Staff requirements'!Z40</f>
        <v>110550</v>
      </c>
      <c r="R5" s="43">
        <f>SUM(F5:Q5)</f>
        <v>1226600</v>
      </c>
      <c r="S5" s="78">
        <f t="shared" ref="S5:S15" si="0">R5/$R$18</f>
        <v>0.67857075043678217</v>
      </c>
      <c r="T5" s="78">
        <f t="shared" ref="T5:T15" si="1">R5/$R$113</f>
        <v>0.40022438627508439</v>
      </c>
      <c r="U5" s="78">
        <f>R5/SALES!$AM$55</f>
        <v>0.26237433155080214</v>
      </c>
    </row>
    <row r="6" spans="1:22">
      <c r="A6" t="s">
        <v>50</v>
      </c>
      <c r="B6" s="73">
        <v>2</v>
      </c>
      <c r="C6" s="79" t="s">
        <v>52</v>
      </c>
      <c r="D6" s="171"/>
      <c r="E6" s="77"/>
      <c r="F6" s="14">
        <f>'Staff requirements'!O41</f>
        <v>29450</v>
      </c>
      <c r="G6" s="14">
        <f>'Staff requirements'!P41</f>
        <v>29450</v>
      </c>
      <c r="H6" s="14">
        <f>'Staff requirements'!Q41</f>
        <v>29450</v>
      </c>
      <c r="I6" s="14">
        <f>'Staff requirements'!R41</f>
        <v>29450</v>
      </c>
      <c r="J6" s="14">
        <f>'Staff requirements'!S41</f>
        <v>29450</v>
      </c>
      <c r="K6" s="14">
        <f>'Staff requirements'!T41</f>
        <v>29450</v>
      </c>
      <c r="L6" s="14">
        <f>'Staff requirements'!U41</f>
        <v>29450</v>
      </c>
      <c r="M6" s="14">
        <f>'Staff requirements'!V41</f>
        <v>29450</v>
      </c>
      <c r="N6" s="14">
        <f>'Staff requirements'!W41</f>
        <v>29450</v>
      </c>
      <c r="O6" s="14">
        <f>'Staff requirements'!X41</f>
        <v>29450</v>
      </c>
      <c r="P6" s="14">
        <f>'Staff requirements'!Y41</f>
        <v>29450</v>
      </c>
      <c r="Q6" s="14">
        <f>'Staff requirements'!Z41</f>
        <v>29450</v>
      </c>
      <c r="R6" s="43">
        <f t="shared" ref="R6:R16" si="2">SUM(F6:Q6)</f>
        <v>353400</v>
      </c>
      <c r="S6" s="78">
        <f t="shared" si="0"/>
        <v>0.19550538333960446</v>
      </c>
      <c r="T6" s="78">
        <f t="shared" si="1"/>
        <v>0.11531004248297312</v>
      </c>
      <c r="U6" s="78">
        <f>R6/SALES!$AM$55</f>
        <v>7.5593582887700531E-2</v>
      </c>
    </row>
    <row r="7" spans="1:22">
      <c r="A7" t="s">
        <v>50</v>
      </c>
      <c r="B7" s="73">
        <v>3</v>
      </c>
      <c r="C7" s="80" t="s">
        <v>53</v>
      </c>
      <c r="D7" s="171"/>
      <c r="E7" s="77"/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43">
        <f t="shared" si="2"/>
        <v>0</v>
      </c>
      <c r="S7" s="78">
        <f t="shared" si="0"/>
        <v>0</v>
      </c>
      <c r="T7" s="78">
        <f t="shared" si="1"/>
        <v>0</v>
      </c>
      <c r="U7" s="78">
        <f>R7/SALES!$AM$55</f>
        <v>0</v>
      </c>
    </row>
    <row r="8" spans="1:22">
      <c r="A8" t="s">
        <v>50</v>
      </c>
      <c r="B8" s="73">
        <v>4</v>
      </c>
      <c r="C8" t="s">
        <v>54</v>
      </c>
      <c r="E8" s="77"/>
      <c r="F8" s="14">
        <f>'Staff Costs'!D153</f>
        <v>2291.666666666667</v>
      </c>
      <c r="G8" s="14">
        <f>'Staff Costs'!E153</f>
        <v>2291.666666666667</v>
      </c>
      <c r="H8" s="14">
        <f>'Staff Costs'!F153</f>
        <v>2291.666666666667</v>
      </c>
      <c r="I8" s="14">
        <f>'Staff Costs'!G153</f>
        <v>2291.666666666667</v>
      </c>
      <c r="J8" s="14">
        <f>'Staff Costs'!H153</f>
        <v>2291.666666666667</v>
      </c>
      <c r="K8" s="14">
        <f>'Staff Costs'!I153</f>
        <v>2291.666666666667</v>
      </c>
      <c r="L8" s="14">
        <f>'Staff Costs'!J153</f>
        <v>2291.666666666667</v>
      </c>
      <c r="M8" s="14">
        <f>'Staff Costs'!K153</f>
        <v>2291.666666666667</v>
      </c>
      <c r="N8" s="14">
        <f>'Staff Costs'!L153</f>
        <v>2291.666666666667</v>
      </c>
      <c r="O8" s="14">
        <f>'Staff Costs'!M153</f>
        <v>2291.666666666667</v>
      </c>
      <c r="P8" s="14">
        <f>'Staff Costs'!N153</f>
        <v>2291.666666666667</v>
      </c>
      <c r="Q8" s="14">
        <f>'Staff Costs'!O153</f>
        <v>2291.666666666667</v>
      </c>
      <c r="R8" s="43">
        <f t="shared" si="2"/>
        <v>27500.000000000011</v>
      </c>
      <c r="S8" s="78">
        <f t="shared" si="0"/>
        <v>1.5213350429652306E-2</v>
      </c>
      <c r="T8" s="78">
        <f t="shared" si="1"/>
        <v>8.972909361295309E-3</v>
      </c>
      <c r="U8" s="78">
        <f>R8/SALES!$AM$55</f>
        <v>5.8823529411764731E-3</v>
      </c>
    </row>
    <row r="9" spans="1:22">
      <c r="B9" s="73">
        <v>3</v>
      </c>
      <c r="C9" s="81" t="s">
        <v>55</v>
      </c>
      <c r="D9" s="170"/>
      <c r="E9" s="77"/>
      <c r="F9" s="14">
        <f>'Staff Costs'!D115</f>
        <v>4727.916666666667</v>
      </c>
      <c r="G9" s="14">
        <f>'Staff Costs'!E115</f>
        <v>4727.916666666667</v>
      </c>
      <c r="H9" s="14">
        <f>'Staff Costs'!F115</f>
        <v>4727.916666666667</v>
      </c>
      <c r="I9" s="14">
        <f>'Staff Costs'!G115</f>
        <v>4727.916666666667</v>
      </c>
      <c r="J9" s="14">
        <f>'Staff Costs'!H115</f>
        <v>4727.916666666667</v>
      </c>
      <c r="K9" s="14">
        <f>'Staff Costs'!I115</f>
        <v>4727.916666666667</v>
      </c>
      <c r="L9" s="14">
        <f>'Staff Costs'!J115</f>
        <v>4727.916666666667</v>
      </c>
      <c r="M9" s="14">
        <f>'Staff Costs'!K115</f>
        <v>4727.916666666667</v>
      </c>
      <c r="N9" s="14">
        <f>'Staff Costs'!L115</f>
        <v>5331.6666666666661</v>
      </c>
      <c r="O9" s="14">
        <f>'Staff Costs'!M115</f>
        <v>5331.6666666666661</v>
      </c>
      <c r="P9" s="14">
        <f>'Staff Costs'!N115</f>
        <v>5331.6666666666661</v>
      </c>
      <c r="Q9" s="14">
        <f>'Staff Costs'!O115</f>
        <v>5331.6666666666661</v>
      </c>
      <c r="R9" s="43">
        <f t="shared" si="2"/>
        <v>59149.999999999993</v>
      </c>
      <c r="S9" s="78">
        <f t="shared" si="0"/>
        <v>3.2722533742324852E-2</v>
      </c>
      <c r="T9" s="78">
        <f t="shared" si="1"/>
        <v>1.9299912317113352E-2</v>
      </c>
      <c r="U9" s="78">
        <f>R9/SALES!$AM$55</f>
        <v>1.2652406417112298E-2</v>
      </c>
    </row>
    <row r="10" spans="1:22">
      <c r="A10" t="s">
        <v>50</v>
      </c>
      <c r="B10" s="73">
        <v>5</v>
      </c>
      <c r="C10" t="s">
        <v>56</v>
      </c>
      <c r="D10" s="172">
        <f>+'YTD Nov 01 PL'!D143</f>
        <v>0</v>
      </c>
      <c r="E10" s="166">
        <f t="shared" ref="E10:E15" si="3">D10/11</f>
        <v>0</v>
      </c>
      <c r="F10" s="14">
        <f>8000*3.671/12</f>
        <v>2447.3333333333335</v>
      </c>
      <c r="G10" s="14">
        <f>+F10</f>
        <v>2447.3333333333335</v>
      </c>
      <c r="H10" s="14">
        <f t="shared" ref="H10:Q10" si="4">+G10</f>
        <v>2447.3333333333335</v>
      </c>
      <c r="I10" s="14">
        <f t="shared" si="4"/>
        <v>2447.3333333333335</v>
      </c>
      <c r="J10" s="14">
        <f t="shared" si="4"/>
        <v>2447.3333333333335</v>
      </c>
      <c r="K10" s="14">
        <f t="shared" si="4"/>
        <v>2447.3333333333335</v>
      </c>
      <c r="L10" s="14">
        <f t="shared" si="4"/>
        <v>2447.3333333333335</v>
      </c>
      <c r="M10" s="14">
        <f t="shared" si="4"/>
        <v>2447.3333333333335</v>
      </c>
      <c r="N10" s="14">
        <f t="shared" si="4"/>
        <v>2447.3333333333335</v>
      </c>
      <c r="O10" s="14">
        <f t="shared" si="4"/>
        <v>2447.3333333333335</v>
      </c>
      <c r="P10" s="14">
        <f t="shared" si="4"/>
        <v>2447.3333333333335</v>
      </c>
      <c r="Q10" s="14">
        <f t="shared" si="4"/>
        <v>2447.3333333333335</v>
      </c>
      <c r="R10" s="43">
        <f t="shared" si="2"/>
        <v>29367.999999999996</v>
      </c>
      <c r="S10" s="78">
        <f t="shared" si="0"/>
        <v>1.6246751833382859E-2</v>
      </c>
      <c r="T10" s="78">
        <f t="shared" si="1"/>
        <v>9.5824146226371077E-3</v>
      </c>
      <c r="U10" s="78">
        <f>R10/SALES!$AM$55</f>
        <v>6.2819251336898385E-3</v>
      </c>
    </row>
    <row r="11" spans="1:22" hidden="1">
      <c r="A11" t="s">
        <v>50</v>
      </c>
      <c r="B11" s="73">
        <v>6</v>
      </c>
      <c r="C11" t="s">
        <v>57</v>
      </c>
      <c r="D11" s="172">
        <v>23331</v>
      </c>
      <c r="E11" s="166">
        <f t="shared" si="3"/>
        <v>2121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43">
        <f t="shared" si="2"/>
        <v>0</v>
      </c>
      <c r="S11" s="78">
        <f t="shared" si="0"/>
        <v>0</v>
      </c>
      <c r="T11" s="78">
        <f t="shared" si="1"/>
        <v>0</v>
      </c>
      <c r="U11" s="78">
        <f>R11/SALES!$AM$55</f>
        <v>0</v>
      </c>
    </row>
    <row r="12" spans="1:22">
      <c r="A12" t="s">
        <v>50</v>
      </c>
      <c r="B12" s="73"/>
      <c r="C12" t="s">
        <v>58</v>
      </c>
      <c r="D12" s="172">
        <f>+'YTD Nov 01 PL'!D138+'YTD Nov 01 PL'!D139</f>
        <v>3549.4</v>
      </c>
      <c r="E12" s="166">
        <f t="shared" si="3"/>
        <v>322.67272727272729</v>
      </c>
      <c r="F12" s="14">
        <f>+E12</f>
        <v>322.67272727272729</v>
      </c>
      <c r="G12" s="14">
        <f>+F12</f>
        <v>322.67272727272729</v>
      </c>
      <c r="H12" s="14">
        <f t="shared" ref="H12:Q12" si="5">+G12</f>
        <v>322.67272727272729</v>
      </c>
      <c r="I12" s="14">
        <f t="shared" si="5"/>
        <v>322.67272727272729</v>
      </c>
      <c r="J12" s="14">
        <f t="shared" si="5"/>
        <v>322.67272727272729</v>
      </c>
      <c r="K12" s="14">
        <f t="shared" si="5"/>
        <v>322.67272727272729</v>
      </c>
      <c r="L12" s="14">
        <f t="shared" si="5"/>
        <v>322.67272727272729</v>
      </c>
      <c r="M12" s="14">
        <f t="shared" si="5"/>
        <v>322.67272727272729</v>
      </c>
      <c r="N12" s="14">
        <f t="shared" si="5"/>
        <v>322.67272727272729</v>
      </c>
      <c r="O12" s="14">
        <f t="shared" si="5"/>
        <v>322.67272727272729</v>
      </c>
      <c r="P12" s="14">
        <f t="shared" si="5"/>
        <v>322.67272727272729</v>
      </c>
      <c r="Q12" s="14">
        <f t="shared" si="5"/>
        <v>322.67272727272729</v>
      </c>
      <c r="R12" s="43">
        <f t="shared" si="2"/>
        <v>3872.0727272727268</v>
      </c>
      <c r="S12" s="78">
        <f t="shared" si="0"/>
        <v>2.1420799741490725E-3</v>
      </c>
      <c r="T12" s="78">
        <f t="shared" si="1"/>
        <v>1.2634093680786069E-3</v>
      </c>
      <c r="U12" s="78">
        <f>R12/SALES!$AM$55</f>
        <v>8.2825085075352448E-4</v>
      </c>
    </row>
    <row r="13" spans="1:22">
      <c r="A13" t="s">
        <v>50</v>
      </c>
      <c r="B13" s="73">
        <v>6</v>
      </c>
      <c r="C13" t="s">
        <v>59</v>
      </c>
      <c r="D13" s="172">
        <f>+'YTD Nov 01 PL'!D135</f>
        <v>31183.7</v>
      </c>
      <c r="E13" s="166">
        <f t="shared" si="3"/>
        <v>2834.8818181818183</v>
      </c>
      <c r="F13" s="14">
        <f>+E13</f>
        <v>2834.8818181818183</v>
      </c>
      <c r="G13" s="14">
        <f>+F13</f>
        <v>2834.8818181818183</v>
      </c>
      <c r="H13" s="14">
        <f>+G13</f>
        <v>2834.8818181818183</v>
      </c>
      <c r="I13" s="14">
        <f t="shared" ref="I13:Q13" si="6">+H13</f>
        <v>2834.8818181818183</v>
      </c>
      <c r="J13" s="14">
        <f t="shared" si="6"/>
        <v>2834.8818181818183</v>
      </c>
      <c r="K13" s="14">
        <f t="shared" si="6"/>
        <v>2834.8818181818183</v>
      </c>
      <c r="L13" s="14">
        <f>+K13</f>
        <v>2834.8818181818183</v>
      </c>
      <c r="M13" s="14">
        <f t="shared" si="6"/>
        <v>2834.8818181818183</v>
      </c>
      <c r="N13" s="14">
        <f t="shared" si="6"/>
        <v>2834.8818181818183</v>
      </c>
      <c r="O13" s="14">
        <f t="shared" si="6"/>
        <v>2834.8818181818183</v>
      </c>
      <c r="P13" s="14">
        <f t="shared" si="6"/>
        <v>2834.8818181818183</v>
      </c>
      <c r="Q13" s="14">
        <f t="shared" si="6"/>
        <v>2834.8818181818183</v>
      </c>
      <c r="R13" s="43">
        <f t="shared" si="2"/>
        <v>34018.58181818181</v>
      </c>
      <c r="S13" s="78">
        <f t="shared" si="0"/>
        <v>1.8819512957083569E-2</v>
      </c>
      <c r="T13" s="78">
        <f t="shared" si="1"/>
        <v>1.1099841863794684E-2</v>
      </c>
      <c r="U13" s="78">
        <f>R13/SALES!$AM$55</f>
        <v>7.2767019931939698E-3</v>
      </c>
    </row>
    <row r="14" spans="1:22">
      <c r="A14" t="s">
        <v>50</v>
      </c>
      <c r="B14" s="73">
        <v>7</v>
      </c>
      <c r="C14" s="21" t="s">
        <v>61</v>
      </c>
      <c r="D14" s="172">
        <f>+'YTD Nov 01 PL'!D141</f>
        <v>27647</v>
      </c>
      <c r="E14" s="166">
        <f t="shared" si="3"/>
        <v>2513.3636363636365</v>
      </c>
      <c r="F14" s="14">
        <f>+'YTD Nov 01 PL'!E141*1.25</f>
        <v>3141.7045454545455</v>
      </c>
      <c r="G14" s="14">
        <f>+F14</f>
        <v>3141.7045454545455</v>
      </c>
      <c r="H14" s="14">
        <f t="shared" ref="H14:Q14" si="7">+G14</f>
        <v>3141.7045454545455</v>
      </c>
      <c r="I14" s="14">
        <f t="shared" si="7"/>
        <v>3141.7045454545455</v>
      </c>
      <c r="J14" s="14">
        <f t="shared" si="7"/>
        <v>3141.7045454545455</v>
      </c>
      <c r="K14" s="14">
        <f t="shared" si="7"/>
        <v>3141.7045454545455</v>
      </c>
      <c r="L14" s="14">
        <f t="shared" si="7"/>
        <v>3141.7045454545455</v>
      </c>
      <c r="M14" s="14">
        <f t="shared" si="7"/>
        <v>3141.7045454545455</v>
      </c>
      <c r="N14" s="14">
        <f t="shared" si="7"/>
        <v>3141.7045454545455</v>
      </c>
      <c r="O14" s="14">
        <f t="shared" si="7"/>
        <v>3141.7045454545455</v>
      </c>
      <c r="P14" s="14">
        <f t="shared" si="7"/>
        <v>3141.7045454545455</v>
      </c>
      <c r="Q14" s="14">
        <f t="shared" si="7"/>
        <v>3141.7045454545455</v>
      </c>
      <c r="R14" s="43">
        <f t="shared" si="2"/>
        <v>37700.454545454537</v>
      </c>
      <c r="S14" s="78">
        <f t="shared" si="0"/>
        <v>2.0856371867533738E-2</v>
      </c>
      <c r="T14" s="78">
        <f t="shared" si="1"/>
        <v>1.2301191327854441E-2</v>
      </c>
      <c r="U14" s="78">
        <f>R14/SALES!$AM$55</f>
        <v>8.064268351968884E-3</v>
      </c>
    </row>
    <row r="15" spans="1:22">
      <c r="A15" t="s">
        <v>50</v>
      </c>
      <c r="B15" s="73">
        <v>7</v>
      </c>
      <c r="C15" s="21" t="s">
        <v>62</v>
      </c>
      <c r="D15" s="172">
        <f>+'YTD Nov 01 PL'!D140</f>
        <v>28811</v>
      </c>
      <c r="E15" s="166">
        <f t="shared" si="3"/>
        <v>2619.181818181818</v>
      </c>
      <c r="F15" s="14">
        <f>+'YTD Nov 01 PL'!E140*1.25</f>
        <v>3001.145833333333</v>
      </c>
      <c r="G15" s="14">
        <f>+F15</f>
        <v>3001.145833333333</v>
      </c>
      <c r="H15" s="14">
        <f t="shared" ref="H15:Q15" si="8">+G15</f>
        <v>3001.145833333333</v>
      </c>
      <c r="I15" s="14">
        <f t="shared" si="8"/>
        <v>3001.145833333333</v>
      </c>
      <c r="J15" s="14">
        <f t="shared" si="8"/>
        <v>3001.145833333333</v>
      </c>
      <c r="K15" s="14">
        <f t="shared" si="8"/>
        <v>3001.145833333333</v>
      </c>
      <c r="L15" s="14">
        <f t="shared" si="8"/>
        <v>3001.145833333333</v>
      </c>
      <c r="M15" s="14">
        <f t="shared" si="8"/>
        <v>3001.145833333333</v>
      </c>
      <c r="N15" s="14">
        <f t="shared" si="8"/>
        <v>3001.145833333333</v>
      </c>
      <c r="O15" s="14">
        <f t="shared" si="8"/>
        <v>3001.145833333333</v>
      </c>
      <c r="P15" s="14">
        <f t="shared" si="8"/>
        <v>3001.145833333333</v>
      </c>
      <c r="Q15" s="14">
        <f t="shared" si="8"/>
        <v>3001.145833333333</v>
      </c>
      <c r="R15" s="43">
        <f t="shared" si="2"/>
        <v>36013.749999999993</v>
      </c>
      <c r="S15" s="78">
        <f t="shared" si="0"/>
        <v>1.9923265419486923E-2</v>
      </c>
      <c r="T15" s="78">
        <f t="shared" si="1"/>
        <v>1.1750840527649044E-2</v>
      </c>
      <c r="U15" s="78">
        <f>R15/SALES!$AM$55</f>
        <v>7.7034759358288758E-3</v>
      </c>
    </row>
    <row r="16" spans="1:22">
      <c r="B16" s="73">
        <v>8</v>
      </c>
      <c r="C16" t="s">
        <v>204</v>
      </c>
      <c r="D16" s="172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43">
        <f t="shared" si="2"/>
        <v>0</v>
      </c>
      <c r="S16" s="78"/>
      <c r="T16" s="78"/>
      <c r="U16" s="78"/>
    </row>
    <row r="17" spans="1:49">
      <c r="B17" s="73"/>
      <c r="D17" s="172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43"/>
      <c r="S17" s="411"/>
      <c r="T17" s="411"/>
      <c r="U17" s="411"/>
    </row>
    <row r="18" spans="1:49">
      <c r="B18" s="73"/>
      <c r="C18" s="82" t="s">
        <v>63</v>
      </c>
      <c r="D18" s="173"/>
      <c r="E18" s="51"/>
      <c r="F18" s="51">
        <f>SUM(F5:F17)</f>
        <v>146267.32159090912</v>
      </c>
      <c r="G18" s="51">
        <f t="shared" ref="G18:Q18" si="9">SUM(G5:G17)</f>
        <v>146267.32159090912</v>
      </c>
      <c r="H18" s="51">
        <f t="shared" si="9"/>
        <v>146267.32159090912</v>
      </c>
      <c r="I18" s="51">
        <f t="shared" si="9"/>
        <v>146267.32159090912</v>
      </c>
      <c r="J18" s="51">
        <f t="shared" si="9"/>
        <v>146267.32159090912</v>
      </c>
      <c r="K18" s="51">
        <f t="shared" si="9"/>
        <v>146267.32159090912</v>
      </c>
      <c r="L18" s="51">
        <f t="shared" si="9"/>
        <v>146267.32159090912</v>
      </c>
      <c r="M18" s="51">
        <f t="shared" si="9"/>
        <v>146267.32159090912</v>
      </c>
      <c r="N18" s="51">
        <f t="shared" si="9"/>
        <v>159371.07159090909</v>
      </c>
      <c r="O18" s="51">
        <f t="shared" si="9"/>
        <v>159371.07159090909</v>
      </c>
      <c r="P18" s="51">
        <f t="shared" si="9"/>
        <v>159371.07159090909</v>
      </c>
      <c r="Q18" s="51">
        <f t="shared" si="9"/>
        <v>159371.07159090909</v>
      </c>
      <c r="R18" s="51">
        <f>SUM(R5:R17)</f>
        <v>1807622.8590909091</v>
      </c>
      <c r="S18" s="51">
        <f t="shared" ref="S18:AC18" si="10">SUM(S5:S16)</f>
        <v>1</v>
      </c>
      <c r="T18" s="51">
        <f t="shared" si="10"/>
        <v>0.5898049481464801</v>
      </c>
      <c r="U18" s="51">
        <f t="shared" si="10"/>
        <v>0.38665729606222649</v>
      </c>
      <c r="V18" s="51">
        <f t="shared" si="10"/>
        <v>0</v>
      </c>
      <c r="W18" s="51">
        <f t="shared" si="10"/>
        <v>0</v>
      </c>
      <c r="X18" s="51">
        <f t="shared" si="10"/>
        <v>0</v>
      </c>
      <c r="Y18" s="51">
        <f t="shared" si="10"/>
        <v>0</v>
      </c>
      <c r="Z18" s="51">
        <f t="shared" si="10"/>
        <v>0</v>
      </c>
      <c r="AA18" s="51">
        <f t="shared" si="10"/>
        <v>0</v>
      </c>
      <c r="AB18" s="51">
        <f t="shared" si="10"/>
        <v>0</v>
      </c>
      <c r="AC18" s="51">
        <f t="shared" si="10"/>
        <v>0</v>
      </c>
    </row>
    <row r="19" spans="1:49">
      <c r="B19" s="73"/>
      <c r="C19" s="11"/>
      <c r="D19" s="170"/>
      <c r="E19" s="8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43">
        <f>SUM(F19:L19)</f>
        <v>0</v>
      </c>
      <c r="S19" s="78"/>
      <c r="T19" s="78"/>
      <c r="U19" s="78"/>
    </row>
    <row r="20" spans="1:49">
      <c r="B20" s="73"/>
      <c r="C20" s="65" t="s">
        <v>64</v>
      </c>
      <c r="D20" s="168"/>
      <c r="E20" s="8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7"/>
      <c r="S20" s="86"/>
      <c r="T20" s="86"/>
      <c r="U20" s="86"/>
    </row>
    <row r="21" spans="1:49">
      <c r="A21" t="s">
        <v>50</v>
      </c>
      <c r="B21" s="73">
        <v>10</v>
      </c>
      <c r="C21" s="11" t="s">
        <v>65</v>
      </c>
      <c r="D21" s="170">
        <f>+'YTD Nov 01 PL'!D144</f>
        <v>292204</v>
      </c>
      <c r="E21" s="479">
        <v>26564</v>
      </c>
      <c r="F21" s="84">
        <f>E21</f>
        <v>26564</v>
      </c>
      <c r="G21" s="84">
        <f t="shared" ref="G21:Q21" si="11">F21</f>
        <v>26564</v>
      </c>
      <c r="H21" s="84">
        <f t="shared" si="11"/>
        <v>26564</v>
      </c>
      <c r="I21" s="84">
        <f t="shared" si="11"/>
        <v>26564</v>
      </c>
      <c r="J21" s="84">
        <f t="shared" si="11"/>
        <v>26564</v>
      </c>
      <c r="K21" s="84">
        <f t="shared" si="11"/>
        <v>26564</v>
      </c>
      <c r="L21" s="84">
        <f t="shared" si="11"/>
        <v>26564</v>
      </c>
      <c r="M21" s="84">
        <f t="shared" si="11"/>
        <v>26564</v>
      </c>
      <c r="N21" s="84">
        <f t="shared" si="11"/>
        <v>26564</v>
      </c>
      <c r="O21" s="84">
        <f t="shared" si="11"/>
        <v>26564</v>
      </c>
      <c r="P21" s="84">
        <f t="shared" si="11"/>
        <v>26564</v>
      </c>
      <c r="Q21" s="84">
        <f t="shared" si="11"/>
        <v>26564</v>
      </c>
      <c r="R21" s="444">
        <f t="shared" ref="R21:R39" si="12">SUM(F21:Q21)</f>
        <v>318768</v>
      </c>
      <c r="S21" s="480">
        <f t="shared" ref="S21:S30" si="13">R21/$R$41</f>
        <v>0.54955720706561817</v>
      </c>
      <c r="T21" s="480">
        <f t="shared" ref="T21:T39" si="14">R21/$R$113</f>
        <v>0.10401004986477752</v>
      </c>
      <c r="U21" s="480">
        <f>R21/SALES!$AM$55</f>
        <v>6.8185668449197864E-2</v>
      </c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</row>
    <row r="22" spans="1:49">
      <c r="A22" t="s">
        <v>50</v>
      </c>
      <c r="B22" s="73"/>
      <c r="C22" s="4" t="s">
        <v>66</v>
      </c>
      <c r="D22" s="123">
        <f>+'YTD Nov 01 PL'!D145</f>
        <v>16647.3</v>
      </c>
      <c r="E22" s="192">
        <f t="shared" ref="E22:E38" si="15">D22/11</f>
        <v>1513.390909090909</v>
      </c>
      <c r="F22" s="14">
        <f>+E22*1.05</f>
        <v>1589.0604545454544</v>
      </c>
      <c r="G22" s="14">
        <f t="shared" ref="G22:G38" si="16">+F22</f>
        <v>1589.0604545454544</v>
      </c>
      <c r="H22" s="14">
        <f t="shared" ref="H22:Q22" si="17">+G22</f>
        <v>1589.0604545454544</v>
      </c>
      <c r="I22" s="14">
        <f t="shared" si="17"/>
        <v>1589.0604545454544</v>
      </c>
      <c r="J22" s="14">
        <f t="shared" si="17"/>
        <v>1589.0604545454544</v>
      </c>
      <c r="K22" s="14">
        <f t="shared" si="17"/>
        <v>1589.0604545454544</v>
      </c>
      <c r="L22" s="14">
        <f t="shared" si="17"/>
        <v>1589.0604545454544</v>
      </c>
      <c r="M22" s="14">
        <f t="shared" si="17"/>
        <v>1589.0604545454544</v>
      </c>
      <c r="N22" s="14">
        <f t="shared" si="17"/>
        <v>1589.0604545454544</v>
      </c>
      <c r="O22" s="14">
        <f t="shared" si="17"/>
        <v>1589.0604545454544</v>
      </c>
      <c r="P22" s="14">
        <f t="shared" si="17"/>
        <v>1589.0604545454544</v>
      </c>
      <c r="Q22" s="14">
        <f t="shared" si="17"/>
        <v>1589.0604545454544</v>
      </c>
      <c r="R22" s="43">
        <f t="shared" si="12"/>
        <v>19068.725454545456</v>
      </c>
      <c r="S22" s="78">
        <f t="shared" si="13"/>
        <v>3.2874552976148989E-2</v>
      </c>
      <c r="T22" s="78">
        <f t="shared" si="14"/>
        <v>6.2218889141476726E-3</v>
      </c>
      <c r="U22" s="78">
        <f>R22/SALES!$AM$55</f>
        <v>4.0788717549829854E-3</v>
      </c>
    </row>
    <row r="23" spans="1:49">
      <c r="A23" t="s">
        <v>50</v>
      </c>
      <c r="B23" s="73"/>
      <c r="C23" s="4" t="s">
        <v>67</v>
      </c>
      <c r="D23" s="123">
        <f>+'YTD Nov 01 PL'!D146</f>
        <v>88312.44</v>
      </c>
      <c r="E23" s="192">
        <f t="shared" si="15"/>
        <v>8028.4036363636369</v>
      </c>
      <c r="F23" s="14">
        <f>+E23</f>
        <v>8028.4036363636369</v>
      </c>
      <c r="G23" s="14">
        <f t="shared" si="16"/>
        <v>8028.4036363636369</v>
      </c>
      <c r="H23" s="14">
        <f t="shared" ref="H23:Q23" si="18">+G23</f>
        <v>8028.4036363636369</v>
      </c>
      <c r="I23" s="14">
        <f t="shared" si="18"/>
        <v>8028.4036363636369</v>
      </c>
      <c r="J23" s="14">
        <f t="shared" si="18"/>
        <v>8028.4036363636369</v>
      </c>
      <c r="K23" s="14">
        <f t="shared" si="18"/>
        <v>8028.4036363636369</v>
      </c>
      <c r="L23" s="14">
        <f t="shared" si="18"/>
        <v>8028.4036363636369</v>
      </c>
      <c r="M23" s="14">
        <f t="shared" si="18"/>
        <v>8028.4036363636369</v>
      </c>
      <c r="N23" s="14">
        <f t="shared" si="18"/>
        <v>8028.4036363636369</v>
      </c>
      <c r="O23" s="14">
        <f t="shared" si="18"/>
        <v>8028.4036363636369</v>
      </c>
      <c r="P23" s="14">
        <f t="shared" si="18"/>
        <v>8028.4036363636369</v>
      </c>
      <c r="Q23" s="14">
        <f t="shared" si="18"/>
        <v>8028.4036363636369</v>
      </c>
      <c r="R23" s="43">
        <f t="shared" si="12"/>
        <v>96340.843636363672</v>
      </c>
      <c r="S23" s="78">
        <f t="shared" si="13"/>
        <v>0.16609196956766503</v>
      </c>
      <c r="T23" s="78">
        <f t="shared" si="14"/>
        <v>3.1434823917811446E-2</v>
      </c>
      <c r="U23" s="78">
        <f>R23/SALES!$AM$55</f>
        <v>2.0607667087992228E-2</v>
      </c>
    </row>
    <row r="24" spans="1:49">
      <c r="A24" t="s">
        <v>50</v>
      </c>
      <c r="B24" s="73">
        <v>11</v>
      </c>
      <c r="C24" s="4" t="s">
        <v>68</v>
      </c>
      <c r="D24" s="123">
        <f>+'YTD Nov 01 PL'!D147</f>
        <v>4337</v>
      </c>
      <c r="E24" s="192">
        <f t="shared" si="15"/>
        <v>394.27272727272725</v>
      </c>
      <c r="F24" s="14">
        <f>+E24</f>
        <v>394.27272727272725</v>
      </c>
      <c r="G24" s="14">
        <f t="shared" si="16"/>
        <v>394.27272727272725</v>
      </c>
      <c r="H24" s="14">
        <f t="shared" ref="H24:Q24" si="19">+G24</f>
        <v>394.27272727272725</v>
      </c>
      <c r="I24" s="14">
        <f t="shared" si="19"/>
        <v>394.27272727272725</v>
      </c>
      <c r="J24" s="14">
        <f t="shared" si="19"/>
        <v>394.27272727272725</v>
      </c>
      <c r="K24" s="14">
        <f t="shared" si="19"/>
        <v>394.27272727272725</v>
      </c>
      <c r="L24" s="14">
        <f t="shared" si="19"/>
        <v>394.27272727272725</v>
      </c>
      <c r="M24" s="14">
        <f t="shared" si="19"/>
        <v>394.27272727272725</v>
      </c>
      <c r="N24" s="14">
        <f t="shared" si="19"/>
        <v>394.27272727272725</v>
      </c>
      <c r="O24" s="14">
        <f t="shared" si="19"/>
        <v>394.27272727272725</v>
      </c>
      <c r="P24" s="14">
        <f t="shared" si="19"/>
        <v>394.27272727272725</v>
      </c>
      <c r="Q24" s="14">
        <f t="shared" si="19"/>
        <v>394.27272727272725</v>
      </c>
      <c r="R24" s="43">
        <f t="shared" si="12"/>
        <v>4731.2727272727261</v>
      </c>
      <c r="S24" s="78">
        <f t="shared" si="13"/>
        <v>8.1567316225773269E-3</v>
      </c>
      <c r="T24" s="78">
        <f t="shared" si="14"/>
        <v>1.5437556852867858E-3</v>
      </c>
      <c r="U24" s="78">
        <f>R24/SALES!$AM$55</f>
        <v>1.0120369470102088E-3</v>
      </c>
    </row>
    <row r="25" spans="1:49">
      <c r="A25" t="s">
        <v>50</v>
      </c>
      <c r="B25" s="73">
        <v>12</v>
      </c>
      <c r="C25" s="4" t="s">
        <v>69</v>
      </c>
      <c r="D25" s="123">
        <f>+'YTD Nov 01 PL'!D148</f>
        <v>2618</v>
      </c>
      <c r="E25" s="192">
        <f t="shared" si="15"/>
        <v>238</v>
      </c>
      <c r="F25" s="14">
        <f>+E25</f>
        <v>238</v>
      </c>
      <c r="G25" s="14">
        <f t="shared" si="16"/>
        <v>238</v>
      </c>
      <c r="H25" s="14">
        <f t="shared" ref="H25:Q25" si="20">+G25</f>
        <v>238</v>
      </c>
      <c r="I25" s="14">
        <f t="shared" si="20"/>
        <v>238</v>
      </c>
      <c r="J25" s="14">
        <f t="shared" si="20"/>
        <v>238</v>
      </c>
      <c r="K25" s="14">
        <f t="shared" si="20"/>
        <v>238</v>
      </c>
      <c r="L25" s="14">
        <f t="shared" si="20"/>
        <v>238</v>
      </c>
      <c r="M25" s="14">
        <f t="shared" si="20"/>
        <v>238</v>
      </c>
      <c r="N25" s="14">
        <f t="shared" si="20"/>
        <v>238</v>
      </c>
      <c r="O25" s="14">
        <f t="shared" si="20"/>
        <v>238</v>
      </c>
      <c r="P25" s="14">
        <f t="shared" si="20"/>
        <v>238</v>
      </c>
      <c r="Q25" s="14">
        <f t="shared" si="20"/>
        <v>238</v>
      </c>
      <c r="R25" s="43">
        <f t="shared" si="12"/>
        <v>2856</v>
      </c>
      <c r="S25" s="78">
        <f t="shared" si="13"/>
        <v>4.9237545279934162E-3</v>
      </c>
      <c r="T25" s="78">
        <f t="shared" si="14"/>
        <v>9.3187742312215971E-4</v>
      </c>
      <c r="U25" s="78">
        <f>R25/SALES!$AM$55</f>
        <v>6.1090909090909089E-4</v>
      </c>
    </row>
    <row r="26" spans="1:49">
      <c r="A26" t="s">
        <v>50</v>
      </c>
      <c r="B26" s="73">
        <v>13</v>
      </c>
      <c r="C26" s="4" t="s">
        <v>70</v>
      </c>
      <c r="D26" s="123">
        <f>+'YTD Nov 01 PL'!D149</f>
        <v>6704.52</v>
      </c>
      <c r="E26" s="192">
        <f t="shared" si="15"/>
        <v>609.50181818181818</v>
      </c>
      <c r="F26" s="14">
        <f>+E26</f>
        <v>609.50181818181818</v>
      </c>
      <c r="G26" s="14">
        <f t="shared" si="16"/>
        <v>609.50181818181818</v>
      </c>
      <c r="H26" s="14">
        <f t="shared" ref="H26:Q26" si="21">+G26</f>
        <v>609.50181818181818</v>
      </c>
      <c r="I26" s="14">
        <f t="shared" si="21"/>
        <v>609.50181818181818</v>
      </c>
      <c r="J26" s="14">
        <f t="shared" si="21"/>
        <v>609.50181818181818</v>
      </c>
      <c r="K26" s="14">
        <f t="shared" si="21"/>
        <v>609.50181818181818</v>
      </c>
      <c r="L26" s="14">
        <f t="shared" si="21"/>
        <v>609.50181818181818</v>
      </c>
      <c r="M26" s="14">
        <f t="shared" si="21"/>
        <v>609.50181818181818</v>
      </c>
      <c r="N26" s="14">
        <f t="shared" si="21"/>
        <v>609.50181818181818</v>
      </c>
      <c r="O26" s="14">
        <f t="shared" si="21"/>
        <v>609.50181818181818</v>
      </c>
      <c r="P26" s="14">
        <f t="shared" si="21"/>
        <v>609.50181818181818</v>
      </c>
      <c r="Q26" s="14">
        <f t="shared" si="21"/>
        <v>609.50181818181818</v>
      </c>
      <c r="R26" s="43">
        <f t="shared" si="12"/>
        <v>7314.0218181818163</v>
      </c>
      <c r="S26" s="78">
        <f t="shared" si="13"/>
        <v>1.2609400576020785E-2</v>
      </c>
      <c r="T26" s="78">
        <f t="shared" si="14"/>
        <v>2.3864747214938811E-3</v>
      </c>
      <c r="U26" s="78">
        <f>R26/SALES!$AM$55</f>
        <v>1.5644966456003885E-3</v>
      </c>
    </row>
    <row r="27" spans="1:49">
      <c r="A27" t="s">
        <v>50</v>
      </c>
      <c r="B27" s="73">
        <v>14</v>
      </c>
      <c r="C27" s="4" t="s">
        <v>71</v>
      </c>
      <c r="D27" s="123">
        <f>+'YTD Nov 01 PL'!D151</f>
        <v>25426</v>
      </c>
      <c r="E27" s="192">
        <f t="shared" si="15"/>
        <v>2311.4545454545455</v>
      </c>
      <c r="F27" s="14">
        <f>+E27*1.1</f>
        <v>2542.6000000000004</v>
      </c>
      <c r="G27" s="14">
        <f t="shared" si="16"/>
        <v>2542.6000000000004</v>
      </c>
      <c r="H27" s="14">
        <f t="shared" ref="H27:Q27" si="22">+G27</f>
        <v>2542.6000000000004</v>
      </c>
      <c r="I27" s="14">
        <f t="shared" si="22"/>
        <v>2542.6000000000004</v>
      </c>
      <c r="J27" s="14">
        <f t="shared" si="22"/>
        <v>2542.6000000000004</v>
      </c>
      <c r="K27" s="14">
        <f t="shared" si="22"/>
        <v>2542.6000000000004</v>
      </c>
      <c r="L27" s="14">
        <f t="shared" si="22"/>
        <v>2542.6000000000004</v>
      </c>
      <c r="M27" s="14">
        <f t="shared" si="22"/>
        <v>2542.6000000000004</v>
      </c>
      <c r="N27" s="14">
        <f t="shared" si="22"/>
        <v>2542.6000000000004</v>
      </c>
      <c r="O27" s="14">
        <f t="shared" si="22"/>
        <v>2542.6000000000004</v>
      </c>
      <c r="P27" s="14">
        <f t="shared" si="22"/>
        <v>2542.6000000000004</v>
      </c>
      <c r="Q27" s="14">
        <f t="shared" si="22"/>
        <v>2542.6000000000004</v>
      </c>
      <c r="R27" s="43">
        <f t="shared" si="12"/>
        <v>30511.199999999997</v>
      </c>
      <c r="S27" s="78">
        <f t="shared" si="13"/>
        <v>5.2601421272588482E-2</v>
      </c>
      <c r="T27" s="78">
        <f t="shared" si="14"/>
        <v>9.9554266219764823E-3</v>
      </c>
      <c r="U27" s="78">
        <f>R27/SALES!$AM$55</f>
        <v>6.5264598930481277E-3</v>
      </c>
    </row>
    <row r="28" spans="1:49">
      <c r="A28" t="s">
        <v>50</v>
      </c>
      <c r="B28" s="73"/>
      <c r="C28" s="4" t="s">
        <v>72</v>
      </c>
      <c r="D28" s="123">
        <f>+'YTD Nov 01 PL'!D152</f>
        <v>8747.2000000000007</v>
      </c>
      <c r="E28" s="192">
        <f t="shared" si="15"/>
        <v>795.2</v>
      </c>
      <c r="F28" s="14">
        <f>+E28*1.1</f>
        <v>874.72000000000014</v>
      </c>
      <c r="G28" s="14">
        <f t="shared" si="16"/>
        <v>874.72000000000014</v>
      </c>
      <c r="H28" s="14">
        <f t="shared" ref="H28:Q28" si="23">+G28</f>
        <v>874.72000000000014</v>
      </c>
      <c r="I28" s="14">
        <f t="shared" si="23"/>
        <v>874.72000000000014</v>
      </c>
      <c r="J28" s="14">
        <f t="shared" si="23"/>
        <v>874.72000000000014</v>
      </c>
      <c r="K28" s="14">
        <f t="shared" si="23"/>
        <v>874.72000000000014</v>
      </c>
      <c r="L28" s="14">
        <f t="shared" si="23"/>
        <v>874.72000000000014</v>
      </c>
      <c r="M28" s="14">
        <f t="shared" si="23"/>
        <v>874.72000000000014</v>
      </c>
      <c r="N28" s="14">
        <f t="shared" si="23"/>
        <v>874.72000000000014</v>
      </c>
      <c r="O28" s="14">
        <f t="shared" si="23"/>
        <v>874.72000000000014</v>
      </c>
      <c r="P28" s="14">
        <f t="shared" si="23"/>
        <v>874.72000000000014</v>
      </c>
      <c r="Q28" s="14">
        <f t="shared" si="23"/>
        <v>874.72000000000014</v>
      </c>
      <c r="R28" s="43">
        <f t="shared" si="12"/>
        <v>10496.64</v>
      </c>
      <c r="S28" s="78">
        <f t="shared" si="13"/>
        <v>1.8096246053472272E-2</v>
      </c>
      <c r="T28" s="78">
        <f t="shared" si="14"/>
        <v>3.4249236115689724E-3</v>
      </c>
      <c r="U28" s="78">
        <f>R28/SALES!$AM$55</f>
        <v>2.245270588235294E-3</v>
      </c>
    </row>
    <row r="29" spans="1:49">
      <c r="A29" t="s">
        <v>50</v>
      </c>
      <c r="B29" s="73"/>
      <c r="C29" s="4" t="s">
        <v>73</v>
      </c>
      <c r="D29" s="123">
        <f>+'YTD Nov 01 PL'!D154</f>
        <v>4121.33</v>
      </c>
      <c r="E29" s="192">
        <f t="shared" si="15"/>
        <v>374.66636363636366</v>
      </c>
      <c r="F29" s="14">
        <f>+E29*1.05</f>
        <v>393.39968181818188</v>
      </c>
      <c r="G29" s="14">
        <f t="shared" si="16"/>
        <v>393.39968181818188</v>
      </c>
      <c r="H29" s="14">
        <f t="shared" ref="H29:Q29" si="24">+G29</f>
        <v>393.39968181818188</v>
      </c>
      <c r="I29" s="14">
        <f t="shared" si="24"/>
        <v>393.39968181818188</v>
      </c>
      <c r="J29" s="14">
        <f t="shared" si="24"/>
        <v>393.39968181818188</v>
      </c>
      <c r="K29" s="14">
        <f t="shared" si="24"/>
        <v>393.39968181818188</v>
      </c>
      <c r="L29" s="14">
        <f t="shared" si="24"/>
        <v>393.39968181818188</v>
      </c>
      <c r="M29" s="14">
        <f t="shared" si="24"/>
        <v>393.39968181818188</v>
      </c>
      <c r="N29" s="14">
        <f t="shared" si="24"/>
        <v>393.39968181818188</v>
      </c>
      <c r="O29" s="14">
        <f t="shared" si="24"/>
        <v>393.39968181818188</v>
      </c>
      <c r="P29" s="14">
        <f t="shared" si="24"/>
        <v>393.39968181818188</v>
      </c>
      <c r="Q29" s="14">
        <f t="shared" si="24"/>
        <v>393.39968181818188</v>
      </c>
      <c r="R29" s="43">
        <f t="shared" si="12"/>
        <v>4720.796181818182</v>
      </c>
      <c r="S29" s="78">
        <f t="shared" si="13"/>
        <v>8.1386700195942938E-3</v>
      </c>
      <c r="T29" s="78">
        <f t="shared" si="14"/>
        <v>1.5403373182764908E-3</v>
      </c>
      <c r="U29" s="78">
        <f>R29/SALES!$AM$55</f>
        <v>1.0097959747204668E-3</v>
      </c>
    </row>
    <row r="30" spans="1:49">
      <c r="A30" t="s">
        <v>50</v>
      </c>
      <c r="B30" s="73">
        <v>13</v>
      </c>
      <c r="C30" t="s">
        <v>74</v>
      </c>
      <c r="D30" s="163">
        <f>+'YTD Nov 01 PL'!D150</f>
        <v>5491</v>
      </c>
      <c r="E30" s="192">
        <f t="shared" si="15"/>
        <v>499.18181818181819</v>
      </c>
      <c r="F30" s="14">
        <f>+E30*1.1</f>
        <v>549.1</v>
      </c>
      <c r="G30" s="14">
        <f t="shared" si="16"/>
        <v>549.1</v>
      </c>
      <c r="H30" s="14">
        <f t="shared" ref="H30:Q30" si="25">+G30</f>
        <v>549.1</v>
      </c>
      <c r="I30" s="14">
        <f t="shared" si="25"/>
        <v>549.1</v>
      </c>
      <c r="J30" s="14">
        <f t="shared" si="25"/>
        <v>549.1</v>
      </c>
      <c r="K30" s="14">
        <f t="shared" si="25"/>
        <v>549.1</v>
      </c>
      <c r="L30" s="14">
        <f t="shared" si="25"/>
        <v>549.1</v>
      </c>
      <c r="M30" s="14">
        <f t="shared" si="25"/>
        <v>549.1</v>
      </c>
      <c r="N30" s="14">
        <f t="shared" si="25"/>
        <v>549.1</v>
      </c>
      <c r="O30" s="14">
        <f t="shared" si="25"/>
        <v>549.1</v>
      </c>
      <c r="P30" s="14">
        <f t="shared" si="25"/>
        <v>549.1</v>
      </c>
      <c r="Q30" s="14">
        <f t="shared" si="25"/>
        <v>549.1</v>
      </c>
      <c r="R30" s="43">
        <f t="shared" si="12"/>
        <v>6589.2000000000016</v>
      </c>
      <c r="S30" s="78">
        <f t="shared" si="13"/>
        <v>1.1359805089584814E-2</v>
      </c>
      <c r="T30" s="78">
        <f t="shared" si="14"/>
        <v>2.1499743404889832E-3</v>
      </c>
      <c r="U30" s="78">
        <f>R30/SALES!$AM$55</f>
        <v>1.4094545454545458E-3</v>
      </c>
    </row>
    <row r="31" spans="1:49">
      <c r="B31" s="73">
        <v>15</v>
      </c>
      <c r="C31" s="4" t="s">
        <v>75</v>
      </c>
      <c r="D31" s="123">
        <f>+'YTD Nov 01 PL'!D155</f>
        <v>13704</v>
      </c>
      <c r="E31" s="192">
        <f t="shared" si="15"/>
        <v>1245.8181818181818</v>
      </c>
      <c r="F31" s="14">
        <f>+E31</f>
        <v>1245.8181818181818</v>
      </c>
      <c r="G31" s="14">
        <f>+F31</f>
        <v>1245.8181818181818</v>
      </c>
      <c r="H31" s="14">
        <f>+F31</f>
        <v>1245.8181818181818</v>
      </c>
      <c r="I31" s="14">
        <f>+H31</f>
        <v>1245.8181818181818</v>
      </c>
      <c r="J31" s="14">
        <f>+H31</f>
        <v>1245.8181818181818</v>
      </c>
      <c r="K31" s="14">
        <f t="shared" ref="K31:Q31" si="26">+J31</f>
        <v>1245.8181818181818</v>
      </c>
      <c r="L31" s="14">
        <f t="shared" si="26"/>
        <v>1245.8181818181818</v>
      </c>
      <c r="M31" s="14">
        <f t="shared" si="26"/>
        <v>1245.8181818181818</v>
      </c>
      <c r="N31" s="14">
        <f t="shared" si="26"/>
        <v>1245.8181818181818</v>
      </c>
      <c r="O31" s="14">
        <f t="shared" si="26"/>
        <v>1245.8181818181818</v>
      </c>
      <c r="P31" s="14">
        <f t="shared" si="26"/>
        <v>1245.8181818181818</v>
      </c>
      <c r="Q31" s="14">
        <f t="shared" si="26"/>
        <v>1245.8181818181818</v>
      </c>
      <c r="R31" s="43">
        <f t="shared" si="12"/>
        <v>14949.818181818182</v>
      </c>
      <c r="S31" s="78">
        <f>R31/$R$18</f>
        <v>8.2704299221668144E-3</v>
      </c>
      <c r="T31" s="78">
        <f t="shared" si="14"/>
        <v>4.8779404913926955E-3</v>
      </c>
      <c r="U31" s="78">
        <f>R31/SALES!$AM$55</f>
        <v>3.1978220709771511E-3</v>
      </c>
    </row>
    <row r="32" spans="1:49">
      <c r="A32" t="s">
        <v>50</v>
      </c>
      <c r="B32" s="73">
        <v>16</v>
      </c>
      <c r="C32" s="4" t="s">
        <v>76</v>
      </c>
      <c r="D32" s="123">
        <f>+'YTD Nov 01 PL'!D159</f>
        <v>10839.5</v>
      </c>
      <c r="E32" s="192">
        <f t="shared" si="15"/>
        <v>985.40909090909088</v>
      </c>
      <c r="F32" s="14">
        <f>+E32*1.05</f>
        <v>1034.6795454545454</v>
      </c>
      <c r="G32" s="14">
        <f t="shared" si="16"/>
        <v>1034.6795454545454</v>
      </c>
      <c r="H32" s="14">
        <f t="shared" ref="H32:Q32" si="27">+G32</f>
        <v>1034.6795454545454</v>
      </c>
      <c r="I32" s="14">
        <f t="shared" si="27"/>
        <v>1034.6795454545454</v>
      </c>
      <c r="J32" s="14">
        <f t="shared" si="27"/>
        <v>1034.6795454545454</v>
      </c>
      <c r="K32" s="14">
        <f t="shared" si="27"/>
        <v>1034.6795454545454</v>
      </c>
      <c r="L32" s="14">
        <f t="shared" si="27"/>
        <v>1034.6795454545454</v>
      </c>
      <c r="M32" s="14">
        <f t="shared" si="27"/>
        <v>1034.6795454545454</v>
      </c>
      <c r="N32" s="14">
        <f t="shared" si="27"/>
        <v>1034.6795454545454</v>
      </c>
      <c r="O32" s="14">
        <f t="shared" si="27"/>
        <v>1034.6795454545454</v>
      </c>
      <c r="P32" s="14">
        <f t="shared" si="27"/>
        <v>1034.6795454545454</v>
      </c>
      <c r="Q32" s="14">
        <f t="shared" si="27"/>
        <v>1034.6795454545454</v>
      </c>
      <c r="R32" s="43">
        <f t="shared" si="12"/>
        <v>12416.154545454548</v>
      </c>
      <c r="S32" s="78">
        <f t="shared" ref="S32:S39" si="28">R32/$R$41</f>
        <v>2.1405496205689031E-2</v>
      </c>
      <c r="T32" s="78">
        <f t="shared" si="14"/>
        <v>4.0512374309890319E-3</v>
      </c>
      <c r="U32" s="78">
        <f>R32/SALES!$AM$55</f>
        <v>2.6558619348565878E-3</v>
      </c>
    </row>
    <row r="33" spans="1:22">
      <c r="A33" t="s">
        <v>50</v>
      </c>
      <c r="B33" s="73">
        <v>13</v>
      </c>
      <c r="C33" s="4" t="s">
        <v>77</v>
      </c>
      <c r="D33" s="123">
        <f>+'YTD Nov 01 PL'!D153</f>
        <v>1120</v>
      </c>
      <c r="E33" s="192">
        <f t="shared" si="15"/>
        <v>101.81818181818181</v>
      </c>
      <c r="F33" s="14">
        <f>+E33*1.05</f>
        <v>106.90909090909091</v>
      </c>
      <c r="G33" s="14">
        <f t="shared" si="16"/>
        <v>106.90909090909091</v>
      </c>
      <c r="H33" s="14">
        <f t="shared" ref="H33:Q33" si="29">+G33</f>
        <v>106.90909090909091</v>
      </c>
      <c r="I33" s="14">
        <f t="shared" si="29"/>
        <v>106.90909090909091</v>
      </c>
      <c r="J33" s="14">
        <f t="shared" si="29"/>
        <v>106.90909090909091</v>
      </c>
      <c r="K33" s="14">
        <f t="shared" si="29"/>
        <v>106.90909090909091</v>
      </c>
      <c r="L33" s="14">
        <f t="shared" si="29"/>
        <v>106.90909090909091</v>
      </c>
      <c r="M33" s="14">
        <f t="shared" si="29"/>
        <v>106.90909090909091</v>
      </c>
      <c r="N33" s="14">
        <f t="shared" si="29"/>
        <v>106.90909090909091</v>
      </c>
      <c r="O33" s="14">
        <f t="shared" si="29"/>
        <v>106.90909090909091</v>
      </c>
      <c r="P33" s="14">
        <f t="shared" si="29"/>
        <v>106.90909090909091</v>
      </c>
      <c r="Q33" s="14">
        <f t="shared" si="29"/>
        <v>106.90909090909091</v>
      </c>
      <c r="R33" s="43">
        <f t="shared" si="12"/>
        <v>1282.909090909091</v>
      </c>
      <c r="S33" s="78">
        <f t="shared" si="28"/>
        <v>2.2117400018793957E-3</v>
      </c>
      <c r="T33" s="78">
        <f t="shared" si="14"/>
        <v>4.1859734514578298E-4</v>
      </c>
      <c r="U33" s="78">
        <f>R33/SALES!$AM$55</f>
        <v>2.7441905687894993E-4</v>
      </c>
    </row>
    <row r="34" spans="1:22">
      <c r="A34" t="s">
        <v>50</v>
      </c>
      <c r="B34" s="73">
        <v>13</v>
      </c>
      <c r="C34" s="4" t="s">
        <v>78</v>
      </c>
      <c r="D34" s="123">
        <f>+'YTD Nov 01 PL'!D161</f>
        <v>4000</v>
      </c>
      <c r="E34" s="192">
        <f t="shared" si="15"/>
        <v>363.63636363636363</v>
      </c>
      <c r="F34" s="14">
        <f>+E34*1.05</f>
        <v>381.81818181818181</v>
      </c>
      <c r="G34" s="14">
        <f t="shared" si="16"/>
        <v>381.81818181818181</v>
      </c>
      <c r="H34" s="14">
        <f t="shared" ref="H34:Q34" si="30">+G34</f>
        <v>381.81818181818181</v>
      </c>
      <c r="I34" s="14">
        <f t="shared" si="30"/>
        <v>381.81818181818181</v>
      </c>
      <c r="J34" s="14">
        <f t="shared" si="30"/>
        <v>381.81818181818181</v>
      </c>
      <c r="K34" s="14">
        <f t="shared" si="30"/>
        <v>381.81818181818181</v>
      </c>
      <c r="L34" s="14">
        <f t="shared" si="30"/>
        <v>381.81818181818181</v>
      </c>
      <c r="M34" s="14">
        <f t="shared" si="30"/>
        <v>381.81818181818181</v>
      </c>
      <c r="N34" s="14">
        <f t="shared" si="30"/>
        <v>381.81818181818181</v>
      </c>
      <c r="O34" s="14">
        <f t="shared" si="30"/>
        <v>381.81818181818181</v>
      </c>
      <c r="P34" s="14">
        <f t="shared" si="30"/>
        <v>381.81818181818181</v>
      </c>
      <c r="Q34" s="14">
        <f t="shared" si="30"/>
        <v>381.81818181818181</v>
      </c>
      <c r="R34" s="43">
        <f t="shared" si="12"/>
        <v>4581.8181818181829</v>
      </c>
      <c r="S34" s="78">
        <f t="shared" si="28"/>
        <v>7.899071435283558E-3</v>
      </c>
      <c r="T34" s="78">
        <f t="shared" si="14"/>
        <v>1.4949905183777965E-3</v>
      </c>
      <c r="U34" s="78">
        <f>R34/SALES!$AM$55</f>
        <v>9.8006806028196427E-4</v>
      </c>
    </row>
    <row r="35" spans="1:22">
      <c r="A35" t="s">
        <v>50</v>
      </c>
      <c r="B35" s="73">
        <v>13</v>
      </c>
      <c r="C35" s="4" t="s">
        <v>79</v>
      </c>
      <c r="D35" s="123">
        <f>+'YTD Nov 01 PL'!D158</f>
        <v>6216</v>
      </c>
      <c r="E35" s="192">
        <v>518</v>
      </c>
      <c r="F35" s="14">
        <f>+E35</f>
        <v>518</v>
      </c>
      <c r="G35" s="14">
        <f t="shared" si="16"/>
        <v>518</v>
      </c>
      <c r="H35" s="14">
        <f t="shared" ref="H35:Q35" si="31">+G35</f>
        <v>518</v>
      </c>
      <c r="I35" s="14">
        <f t="shared" si="31"/>
        <v>518</v>
      </c>
      <c r="J35" s="14">
        <f t="shared" si="31"/>
        <v>518</v>
      </c>
      <c r="K35" s="14">
        <f t="shared" si="31"/>
        <v>518</v>
      </c>
      <c r="L35" s="14">
        <f t="shared" si="31"/>
        <v>518</v>
      </c>
      <c r="M35" s="14">
        <f t="shared" si="31"/>
        <v>518</v>
      </c>
      <c r="N35" s="14">
        <f t="shared" si="31"/>
        <v>518</v>
      </c>
      <c r="O35" s="14">
        <f t="shared" si="31"/>
        <v>518</v>
      </c>
      <c r="P35" s="14">
        <f t="shared" si="31"/>
        <v>518</v>
      </c>
      <c r="Q35" s="14">
        <f t="shared" si="31"/>
        <v>518</v>
      </c>
      <c r="R35" s="43">
        <f t="shared" si="12"/>
        <v>6216</v>
      </c>
      <c r="S35" s="78">
        <f t="shared" si="28"/>
        <v>1.0716406913868024E-2</v>
      </c>
      <c r="T35" s="78">
        <f t="shared" si="14"/>
        <v>2.0282038032658771E-3</v>
      </c>
      <c r="U35" s="78">
        <f>R35/SALES!$AM$55</f>
        <v>1.3296256684491978E-3</v>
      </c>
    </row>
    <row r="36" spans="1:22">
      <c r="A36" t="s">
        <v>50</v>
      </c>
      <c r="B36" s="73">
        <v>13</v>
      </c>
      <c r="C36" s="4" t="s">
        <v>80</v>
      </c>
      <c r="D36" s="123">
        <f>+'YTD Nov 01 PL'!D157</f>
        <v>47</v>
      </c>
      <c r="E36" s="192">
        <f t="shared" si="15"/>
        <v>4.2727272727272725</v>
      </c>
      <c r="F36" s="14">
        <f>+D36</f>
        <v>47</v>
      </c>
      <c r="G36" s="14">
        <f t="shared" si="16"/>
        <v>47</v>
      </c>
      <c r="H36" s="14">
        <f t="shared" ref="H36:Q36" si="32">+G36</f>
        <v>47</v>
      </c>
      <c r="I36" s="14">
        <f t="shared" si="32"/>
        <v>47</v>
      </c>
      <c r="J36" s="14">
        <f t="shared" si="32"/>
        <v>47</v>
      </c>
      <c r="K36" s="14">
        <f t="shared" si="32"/>
        <v>47</v>
      </c>
      <c r="L36" s="14">
        <f t="shared" si="32"/>
        <v>47</v>
      </c>
      <c r="M36" s="14">
        <f t="shared" si="32"/>
        <v>47</v>
      </c>
      <c r="N36" s="14">
        <f t="shared" si="32"/>
        <v>47</v>
      </c>
      <c r="O36" s="14">
        <f t="shared" si="32"/>
        <v>47</v>
      </c>
      <c r="P36" s="14">
        <f t="shared" si="32"/>
        <v>47</v>
      </c>
      <c r="Q36" s="14">
        <f t="shared" si="32"/>
        <v>47</v>
      </c>
      <c r="R36" s="43">
        <f t="shared" si="12"/>
        <v>564</v>
      </c>
      <c r="S36" s="78">
        <f t="shared" si="28"/>
        <v>9.7233807905752344E-4</v>
      </c>
      <c r="T36" s="78">
        <f t="shared" si="14"/>
        <v>1.8402621380983825E-4</v>
      </c>
      <c r="U36" s="78">
        <f>R36/SALES!$AM$55</f>
        <v>1.2064171122994652E-4</v>
      </c>
    </row>
    <row r="37" spans="1:22">
      <c r="B37" s="73">
        <v>17</v>
      </c>
      <c r="C37" s="4" t="s">
        <v>81</v>
      </c>
      <c r="D37" s="123">
        <f>+'YTD Nov 01 PL'!D162</f>
        <v>20919.95</v>
      </c>
      <c r="E37" s="192">
        <f t="shared" si="15"/>
        <v>1901.8136363636365</v>
      </c>
      <c r="F37" s="14">
        <f>+E37</f>
        <v>1901.8136363636365</v>
      </c>
      <c r="G37" s="14">
        <f t="shared" si="16"/>
        <v>1901.8136363636365</v>
      </c>
      <c r="H37" s="14">
        <f t="shared" ref="H37:Q37" si="33">+G37</f>
        <v>1901.8136363636365</v>
      </c>
      <c r="I37" s="14">
        <f t="shared" si="33"/>
        <v>1901.8136363636365</v>
      </c>
      <c r="J37" s="14">
        <f t="shared" si="33"/>
        <v>1901.8136363636365</v>
      </c>
      <c r="K37" s="14">
        <f t="shared" si="33"/>
        <v>1901.8136363636365</v>
      </c>
      <c r="L37" s="14">
        <f t="shared" si="33"/>
        <v>1901.8136363636365</v>
      </c>
      <c r="M37" s="14">
        <f t="shared" si="33"/>
        <v>1901.8136363636365</v>
      </c>
      <c r="N37" s="14">
        <f t="shared" si="33"/>
        <v>1901.8136363636365</v>
      </c>
      <c r="O37" s="14">
        <f t="shared" si="33"/>
        <v>1901.8136363636365</v>
      </c>
      <c r="P37" s="14">
        <f t="shared" si="33"/>
        <v>1901.8136363636365</v>
      </c>
      <c r="Q37" s="14">
        <f t="shared" si="33"/>
        <v>1901.8136363636365</v>
      </c>
      <c r="R37" s="43">
        <f t="shared" si="12"/>
        <v>22821.763636363637</v>
      </c>
      <c r="S37" s="78">
        <f t="shared" si="28"/>
        <v>3.9344804636323866E-2</v>
      </c>
      <c r="T37" s="78">
        <f t="shared" si="14"/>
        <v>7.4464587845089478E-3</v>
      </c>
      <c r="U37" s="78">
        <f>R37/SALES!$AM$55</f>
        <v>4.8816606708799223E-3</v>
      </c>
      <c r="V37" s="45"/>
    </row>
    <row r="38" spans="1:22">
      <c r="A38" t="s">
        <v>50</v>
      </c>
      <c r="B38" s="73">
        <v>18</v>
      </c>
      <c r="C38" s="4" t="s">
        <v>82</v>
      </c>
      <c r="D38" s="123">
        <f>+'YTD Nov 01 PL'!D160</f>
        <v>14498</v>
      </c>
      <c r="E38" s="192">
        <f t="shared" si="15"/>
        <v>1318</v>
      </c>
      <c r="F38" s="14">
        <f>+E38</f>
        <v>1318</v>
      </c>
      <c r="G38" s="14">
        <f t="shared" si="16"/>
        <v>1318</v>
      </c>
      <c r="H38" s="14">
        <f t="shared" ref="H38:Q38" si="34">+G38</f>
        <v>1318</v>
      </c>
      <c r="I38" s="14">
        <f t="shared" si="34"/>
        <v>1318</v>
      </c>
      <c r="J38" s="14">
        <f t="shared" si="34"/>
        <v>1318</v>
      </c>
      <c r="K38" s="14">
        <f t="shared" si="34"/>
        <v>1318</v>
      </c>
      <c r="L38" s="14">
        <f t="shared" si="34"/>
        <v>1318</v>
      </c>
      <c r="M38" s="14">
        <f t="shared" si="34"/>
        <v>1318</v>
      </c>
      <c r="N38" s="14">
        <f t="shared" si="34"/>
        <v>1318</v>
      </c>
      <c r="O38" s="14">
        <f t="shared" si="34"/>
        <v>1318</v>
      </c>
      <c r="P38" s="14">
        <f t="shared" si="34"/>
        <v>1318</v>
      </c>
      <c r="Q38" s="14">
        <f t="shared" si="34"/>
        <v>1318</v>
      </c>
      <c r="R38" s="43">
        <f t="shared" si="12"/>
        <v>15816</v>
      </c>
      <c r="S38" s="78">
        <f t="shared" si="28"/>
        <v>2.7266842302081189E-2</v>
      </c>
      <c r="T38" s="78">
        <f t="shared" si="14"/>
        <v>5.1605648893907835E-3</v>
      </c>
      <c r="U38" s="78">
        <f>R38/SALES!$AM$55</f>
        <v>3.383101604278075E-3</v>
      </c>
      <c r="V38" s="45"/>
    </row>
    <row r="39" spans="1:22">
      <c r="B39" s="73"/>
      <c r="C39" s="4" t="s">
        <v>60</v>
      </c>
      <c r="D39" s="123"/>
      <c r="E39" s="14">
        <f>D39/12</f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43">
        <f t="shared" si="12"/>
        <v>0</v>
      </c>
      <c r="S39" s="78">
        <f t="shared" si="28"/>
        <v>0</v>
      </c>
      <c r="T39" s="78">
        <f t="shared" si="14"/>
        <v>0</v>
      </c>
      <c r="U39" s="78">
        <f>R39/SALES!$AM$55</f>
        <v>0</v>
      </c>
      <c r="V39" s="45"/>
    </row>
    <row r="40" spans="1:22">
      <c r="B40" s="73"/>
      <c r="C40" s="4"/>
      <c r="D40" s="12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78"/>
      <c r="T40" s="78"/>
      <c r="U40" s="78"/>
      <c r="V40" s="45"/>
    </row>
    <row r="41" spans="1:22">
      <c r="B41" s="73"/>
      <c r="C41" s="82" t="s">
        <v>83</v>
      </c>
      <c r="D41" s="173"/>
      <c r="E41" s="51">
        <f>SUM(E21:E40)</f>
        <v>47766.839999999989</v>
      </c>
      <c r="F41" s="51">
        <f>SUM(F21:F40)</f>
        <v>48337.096954545457</v>
      </c>
      <c r="G41" s="51">
        <f t="shared" ref="G41:R41" si="35">SUM(G21:G40)</f>
        <v>48337.096954545457</v>
      </c>
      <c r="H41" s="51">
        <f t="shared" si="35"/>
        <v>48337.096954545457</v>
      </c>
      <c r="I41" s="51">
        <f t="shared" si="35"/>
        <v>48337.096954545457</v>
      </c>
      <c r="J41" s="51">
        <f t="shared" si="35"/>
        <v>48337.096954545457</v>
      </c>
      <c r="K41" s="51">
        <f t="shared" si="35"/>
        <v>48337.096954545457</v>
      </c>
      <c r="L41" s="51">
        <f t="shared" si="35"/>
        <v>48337.096954545457</v>
      </c>
      <c r="M41" s="51">
        <f t="shared" si="35"/>
        <v>48337.096954545457</v>
      </c>
      <c r="N41" s="51">
        <f t="shared" si="35"/>
        <v>48337.096954545457</v>
      </c>
      <c r="O41" s="51">
        <f t="shared" si="35"/>
        <v>48337.096954545457</v>
      </c>
      <c r="P41" s="51">
        <f t="shared" si="35"/>
        <v>48337.096954545457</v>
      </c>
      <c r="Q41" s="51">
        <f t="shared" si="35"/>
        <v>48337.096954545457</v>
      </c>
      <c r="R41" s="51">
        <f t="shared" si="35"/>
        <v>580045.16345454555</v>
      </c>
      <c r="S41" s="83">
        <f>R41/$R$41</f>
        <v>1</v>
      </c>
      <c r="T41" s="83">
        <f>R41/$R$113</f>
        <v>0.18926155189583116</v>
      </c>
      <c r="U41" s="83">
        <f>R41/SALES!$AM$55</f>
        <v>0.124073831754983</v>
      </c>
      <c r="V41" s="45">
        <f>SUM(F41:Q41)</f>
        <v>580045.16345454555</v>
      </c>
    </row>
    <row r="42" spans="1:22">
      <c r="B42" s="73"/>
      <c r="C42" s="4"/>
      <c r="D42" s="12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43"/>
      <c r="S42" s="78"/>
      <c r="T42" s="78"/>
      <c r="U42" s="78"/>
    </row>
    <row r="43" spans="1:22">
      <c r="B43" s="73"/>
      <c r="C43" s="47" t="s">
        <v>84</v>
      </c>
      <c r="D43" s="17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43"/>
      <c r="S43" s="78"/>
      <c r="T43" s="78"/>
      <c r="U43" s="78"/>
    </row>
    <row r="44" spans="1:22">
      <c r="B44" s="73">
        <v>19</v>
      </c>
      <c r="C44" s="4" t="s">
        <v>85</v>
      </c>
      <c r="D44" s="123">
        <f>+'YTD Nov 01 PL'!D166</f>
        <v>5113</v>
      </c>
      <c r="E44" s="52">
        <f>D44/11</f>
        <v>464.81818181818181</v>
      </c>
      <c r="F44" s="14">
        <f>+E44*1.05</f>
        <v>488.05909090909091</v>
      </c>
      <c r="G44" s="14">
        <f>+F44</f>
        <v>488.05909090909091</v>
      </c>
      <c r="H44" s="14">
        <f t="shared" ref="H44:Q44" si="36">+G44</f>
        <v>488.05909090909091</v>
      </c>
      <c r="I44" s="14">
        <f t="shared" si="36"/>
        <v>488.05909090909091</v>
      </c>
      <c r="J44" s="14">
        <f t="shared" si="36"/>
        <v>488.05909090909091</v>
      </c>
      <c r="K44" s="14">
        <f t="shared" si="36"/>
        <v>488.05909090909091</v>
      </c>
      <c r="L44" s="14">
        <f t="shared" si="36"/>
        <v>488.05909090909091</v>
      </c>
      <c r="M44" s="14">
        <f t="shared" si="36"/>
        <v>488.05909090909091</v>
      </c>
      <c r="N44" s="14">
        <f t="shared" si="36"/>
        <v>488.05909090909091</v>
      </c>
      <c r="O44" s="14">
        <f t="shared" si="36"/>
        <v>488.05909090909091</v>
      </c>
      <c r="P44" s="14">
        <f t="shared" si="36"/>
        <v>488.05909090909091</v>
      </c>
      <c r="Q44" s="14">
        <f t="shared" si="36"/>
        <v>488.05909090909091</v>
      </c>
      <c r="R44" s="43">
        <f>SUM(F44:Q44)</f>
        <v>5856.7090909090903</v>
      </c>
      <c r="S44" s="78">
        <f>R44/$R$41</f>
        <v>1.0096988062151204E-2</v>
      </c>
      <c r="T44" s="78">
        <f>R44/$R$113</f>
        <v>1.9109716301164178E-3</v>
      </c>
      <c r="U44" s="78">
        <f>R44/SALES!$AM$55</f>
        <v>1.2527719980554204E-3</v>
      </c>
    </row>
    <row r="45" spans="1:22">
      <c r="B45" s="73">
        <v>20</v>
      </c>
      <c r="C45" s="4" t="s">
        <v>86</v>
      </c>
      <c r="D45" s="123">
        <f>+'YTD Nov 01 PL'!D165</f>
        <v>4125.1000000000004</v>
      </c>
      <c r="E45" s="52">
        <f>D45/11</f>
        <v>375.00909090909096</v>
      </c>
      <c r="F45" s="14">
        <f>+E45*1.05</f>
        <v>393.7595454545455</v>
      </c>
      <c r="G45" s="14">
        <f>+F45</f>
        <v>393.7595454545455</v>
      </c>
      <c r="H45" s="14">
        <f t="shared" ref="H45:Q45" si="37">+G45</f>
        <v>393.7595454545455</v>
      </c>
      <c r="I45" s="14">
        <f t="shared" si="37"/>
        <v>393.7595454545455</v>
      </c>
      <c r="J45" s="14">
        <f t="shared" si="37"/>
        <v>393.7595454545455</v>
      </c>
      <c r="K45" s="14">
        <f t="shared" si="37"/>
        <v>393.7595454545455</v>
      </c>
      <c r="L45" s="14">
        <f t="shared" si="37"/>
        <v>393.7595454545455</v>
      </c>
      <c r="M45" s="14">
        <f t="shared" si="37"/>
        <v>393.7595454545455</v>
      </c>
      <c r="N45" s="14">
        <f t="shared" si="37"/>
        <v>393.7595454545455</v>
      </c>
      <c r="O45" s="14">
        <f t="shared" si="37"/>
        <v>393.7595454545455</v>
      </c>
      <c r="P45" s="14">
        <f t="shared" si="37"/>
        <v>393.7595454545455</v>
      </c>
      <c r="Q45" s="14">
        <f t="shared" si="37"/>
        <v>393.7595454545455</v>
      </c>
      <c r="R45" s="43">
        <f>SUM(F45:Q45)</f>
        <v>4725.1145454545449</v>
      </c>
      <c r="S45" s="78">
        <f>R45/$R$41</f>
        <v>8.146114894422048E-3</v>
      </c>
      <c r="T45" s="78">
        <f>R45/$R$113</f>
        <v>1.5417463468400618E-3</v>
      </c>
      <c r="U45" s="78">
        <f>R45/SALES!$AM$55</f>
        <v>1.0107196888672824E-3</v>
      </c>
    </row>
    <row r="46" spans="1:22">
      <c r="B46" s="73"/>
      <c r="C46" s="21"/>
      <c r="D46" s="12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43"/>
      <c r="S46" s="78"/>
      <c r="T46" s="78"/>
      <c r="U46" s="78"/>
    </row>
    <row r="47" spans="1:22">
      <c r="B47" s="73"/>
      <c r="C47" s="82" t="s">
        <v>87</v>
      </c>
      <c r="D47" s="173"/>
      <c r="E47" s="51">
        <f>SUM(E44:E46)</f>
        <v>839.82727272727277</v>
      </c>
      <c r="F47" s="51">
        <f>SUM(F44:F46)</f>
        <v>881.81863636363641</v>
      </c>
      <c r="G47" s="51">
        <f t="shared" ref="G47:R47" si="38">SUM(G44:G46)</f>
        <v>881.81863636363641</v>
      </c>
      <c r="H47" s="51">
        <f t="shared" si="38"/>
        <v>881.81863636363641</v>
      </c>
      <c r="I47" s="51">
        <f t="shared" si="38"/>
        <v>881.81863636363641</v>
      </c>
      <c r="J47" s="51">
        <f t="shared" si="38"/>
        <v>881.81863636363641</v>
      </c>
      <c r="K47" s="51">
        <f t="shared" si="38"/>
        <v>881.81863636363641</v>
      </c>
      <c r="L47" s="51">
        <f t="shared" si="38"/>
        <v>881.81863636363641</v>
      </c>
      <c r="M47" s="51">
        <f t="shared" si="38"/>
        <v>881.81863636363641</v>
      </c>
      <c r="N47" s="51">
        <f t="shared" si="38"/>
        <v>881.81863636363641</v>
      </c>
      <c r="O47" s="51">
        <f t="shared" si="38"/>
        <v>881.81863636363641</v>
      </c>
      <c r="P47" s="51">
        <f t="shared" si="38"/>
        <v>881.81863636363641</v>
      </c>
      <c r="Q47" s="51">
        <f t="shared" si="38"/>
        <v>881.81863636363641</v>
      </c>
      <c r="R47" s="51">
        <f t="shared" si="38"/>
        <v>10581.823636363635</v>
      </c>
      <c r="S47" s="83">
        <f>R47/$R$41</f>
        <v>1.8243102956573252E-2</v>
      </c>
      <c r="T47" s="83">
        <f>R47/$R$113</f>
        <v>3.4527179769564794E-3</v>
      </c>
      <c r="U47" s="83">
        <f>R47/SALES!$AM$55</f>
        <v>2.2634916869227026E-3</v>
      </c>
      <c r="V47" s="45">
        <f>SUM(F47:Q47)</f>
        <v>10581.823636363633</v>
      </c>
    </row>
    <row r="48" spans="1:22">
      <c r="B48" s="73"/>
      <c r="C48" s="21"/>
      <c r="D48" s="123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43"/>
      <c r="S48" s="78"/>
      <c r="T48" s="78"/>
      <c r="U48" s="78"/>
    </row>
    <row r="49" spans="1:22">
      <c r="B49" s="73"/>
      <c r="C49" s="47" t="s">
        <v>13</v>
      </c>
      <c r="D49" s="17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43"/>
      <c r="S49" s="78"/>
      <c r="T49" s="78"/>
      <c r="U49" s="78"/>
    </row>
    <row r="50" spans="1:22">
      <c r="A50" t="s">
        <v>50</v>
      </c>
      <c r="B50" s="73"/>
      <c r="C50" s="21" t="s">
        <v>88</v>
      </c>
      <c r="D50" s="123">
        <f>+'YTD Nov 01 PL'!D169</f>
        <v>9163</v>
      </c>
      <c r="E50" s="14">
        <f>+D50/11</f>
        <v>833</v>
      </c>
      <c r="F50" s="14">
        <f>+E50</f>
        <v>833</v>
      </c>
      <c r="G50" s="14">
        <f t="shared" ref="G50:Q50" si="39">+F50</f>
        <v>833</v>
      </c>
      <c r="H50" s="14">
        <f t="shared" si="39"/>
        <v>833</v>
      </c>
      <c r="I50" s="14">
        <f t="shared" si="39"/>
        <v>833</v>
      </c>
      <c r="J50" s="14">
        <f t="shared" si="39"/>
        <v>833</v>
      </c>
      <c r="K50" s="14">
        <f t="shared" si="39"/>
        <v>833</v>
      </c>
      <c r="L50" s="14">
        <f t="shared" si="39"/>
        <v>833</v>
      </c>
      <c r="M50" s="14">
        <f t="shared" si="39"/>
        <v>833</v>
      </c>
      <c r="N50" s="14">
        <f t="shared" si="39"/>
        <v>833</v>
      </c>
      <c r="O50" s="14">
        <f t="shared" si="39"/>
        <v>833</v>
      </c>
      <c r="P50" s="14">
        <f t="shared" si="39"/>
        <v>833</v>
      </c>
      <c r="Q50" s="14">
        <f t="shared" si="39"/>
        <v>833</v>
      </c>
      <c r="R50" s="43">
        <f>SUM(F50:Q50)</f>
        <v>9996</v>
      </c>
      <c r="S50" s="78">
        <f>R50/$R$54</f>
        <v>0.29403459230497708</v>
      </c>
      <c r="T50" s="78">
        <f>R50/$R$113</f>
        <v>3.2615709809275589E-3</v>
      </c>
      <c r="U50" s="78">
        <f>R50/SALES!$AM$55</f>
        <v>2.1381818181818182E-3</v>
      </c>
    </row>
    <row r="51" spans="1:22">
      <c r="B51" s="73"/>
      <c r="C51" s="21" t="s">
        <v>185</v>
      </c>
      <c r="D51" s="123"/>
      <c r="E51" s="14">
        <f>+D51/11</f>
        <v>0</v>
      </c>
      <c r="F51" s="14">
        <f>+E51</f>
        <v>0</v>
      </c>
      <c r="G51" s="14">
        <f t="shared" ref="G51:Q51" si="40">+F51</f>
        <v>0</v>
      </c>
      <c r="H51" s="14">
        <f t="shared" si="40"/>
        <v>0</v>
      </c>
      <c r="I51" s="14">
        <f t="shared" si="40"/>
        <v>0</v>
      </c>
      <c r="J51" s="14">
        <f t="shared" si="40"/>
        <v>0</v>
      </c>
      <c r="K51" s="14">
        <f t="shared" si="40"/>
        <v>0</v>
      </c>
      <c r="L51" s="14">
        <f t="shared" si="40"/>
        <v>0</v>
      </c>
      <c r="M51" s="14">
        <f t="shared" si="40"/>
        <v>0</v>
      </c>
      <c r="N51" s="14">
        <f t="shared" si="40"/>
        <v>0</v>
      </c>
      <c r="O51" s="14">
        <f t="shared" si="40"/>
        <v>0</v>
      </c>
      <c r="P51" s="14">
        <f t="shared" si="40"/>
        <v>0</v>
      </c>
      <c r="Q51" s="14">
        <f t="shared" si="40"/>
        <v>0</v>
      </c>
      <c r="R51" s="43">
        <f>SUM(F51:Q51)</f>
        <v>0</v>
      </c>
      <c r="S51" s="78">
        <f>R51/$R$18</f>
        <v>0</v>
      </c>
      <c r="T51" s="78">
        <f>R51/$R$113</f>
        <v>0</v>
      </c>
      <c r="U51" s="78">
        <f>R51/SALES!$AM$55</f>
        <v>0</v>
      </c>
    </row>
    <row r="52" spans="1:22">
      <c r="B52" s="73">
        <v>21</v>
      </c>
      <c r="C52" s="21" t="s">
        <v>186</v>
      </c>
      <c r="D52" s="123">
        <f>+'YTD Nov 01 PL'!D170</f>
        <v>22000</v>
      </c>
      <c r="E52" s="14">
        <f>+D52/11</f>
        <v>2000</v>
      </c>
      <c r="F52" s="14">
        <f>+E52</f>
        <v>2000</v>
      </c>
      <c r="G52" s="14">
        <f t="shared" ref="G52:Q52" si="41">+F52</f>
        <v>2000</v>
      </c>
      <c r="H52" s="14">
        <f t="shared" si="41"/>
        <v>2000</v>
      </c>
      <c r="I52" s="14">
        <f t="shared" si="41"/>
        <v>2000</v>
      </c>
      <c r="J52" s="14">
        <f t="shared" si="41"/>
        <v>2000</v>
      </c>
      <c r="K52" s="14">
        <f t="shared" si="41"/>
        <v>2000</v>
      </c>
      <c r="L52" s="14">
        <f t="shared" si="41"/>
        <v>2000</v>
      </c>
      <c r="M52" s="14">
        <f t="shared" si="41"/>
        <v>2000</v>
      </c>
      <c r="N52" s="14">
        <f t="shared" si="41"/>
        <v>2000</v>
      </c>
      <c r="O52" s="14">
        <f t="shared" si="41"/>
        <v>2000</v>
      </c>
      <c r="P52" s="14">
        <f t="shared" si="41"/>
        <v>2000</v>
      </c>
      <c r="Q52" s="14">
        <f t="shared" si="41"/>
        <v>2000</v>
      </c>
      <c r="R52" s="43">
        <f>SUM(F52:Q52)</f>
        <v>24000</v>
      </c>
      <c r="S52" s="78">
        <f>R52/$R$18</f>
        <v>1.3277105829514734E-2</v>
      </c>
      <c r="T52" s="78">
        <f>R52/$R$113</f>
        <v>7.8309027153122667E-3</v>
      </c>
      <c r="U52" s="78">
        <f>R52/SALES!$AM$55</f>
        <v>5.1336898395721925E-3</v>
      </c>
    </row>
    <row r="53" spans="1:22">
      <c r="B53" s="73"/>
      <c r="C53" s="21"/>
      <c r="D53" s="123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43"/>
      <c r="S53" s="78"/>
      <c r="T53" s="78"/>
      <c r="U53" s="78"/>
    </row>
    <row r="54" spans="1:22">
      <c r="B54" s="73"/>
      <c r="C54" s="82" t="s">
        <v>89</v>
      </c>
      <c r="D54" s="173"/>
      <c r="E54" s="51"/>
      <c r="F54" s="51">
        <f>SUM(F50:F53)</f>
        <v>2833</v>
      </c>
      <c r="G54" s="51">
        <f t="shared" ref="G54:R54" si="42">SUM(G50:G53)</f>
        <v>2833</v>
      </c>
      <c r="H54" s="51">
        <f t="shared" si="42"/>
        <v>2833</v>
      </c>
      <c r="I54" s="51">
        <f t="shared" si="42"/>
        <v>2833</v>
      </c>
      <c r="J54" s="51">
        <f t="shared" si="42"/>
        <v>2833</v>
      </c>
      <c r="K54" s="51">
        <f t="shared" si="42"/>
        <v>2833</v>
      </c>
      <c r="L54" s="51">
        <f t="shared" si="42"/>
        <v>2833</v>
      </c>
      <c r="M54" s="51">
        <f t="shared" si="42"/>
        <v>2833</v>
      </c>
      <c r="N54" s="51">
        <f t="shared" si="42"/>
        <v>2833</v>
      </c>
      <c r="O54" s="51">
        <f t="shared" si="42"/>
        <v>2833</v>
      </c>
      <c r="P54" s="51">
        <f t="shared" si="42"/>
        <v>2833</v>
      </c>
      <c r="Q54" s="51">
        <f t="shared" si="42"/>
        <v>2833</v>
      </c>
      <c r="R54" s="51">
        <f t="shared" si="42"/>
        <v>33996</v>
      </c>
      <c r="S54" s="83">
        <f>R54/$R$54</f>
        <v>1</v>
      </c>
      <c r="T54" s="83">
        <f>R54/$R$113</f>
        <v>1.1092473696239825E-2</v>
      </c>
      <c r="U54" s="83">
        <f>R54/SALES!$AM$55</f>
        <v>7.271871657754011E-3</v>
      </c>
      <c r="V54" s="45">
        <f>SUM(F54:Q54)</f>
        <v>33996</v>
      </c>
    </row>
    <row r="55" spans="1:22">
      <c r="B55" s="73"/>
      <c r="C55" s="21"/>
      <c r="D55" s="12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43"/>
      <c r="S55" s="78"/>
      <c r="T55" s="78"/>
      <c r="U55" s="78"/>
    </row>
    <row r="56" spans="1:22">
      <c r="B56" s="73"/>
      <c r="C56" s="65" t="s">
        <v>90</v>
      </c>
      <c r="D56" s="168"/>
      <c r="E56" s="85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43"/>
      <c r="S56" s="78"/>
      <c r="T56" s="78"/>
      <c r="U56" s="78"/>
    </row>
    <row r="57" spans="1:22">
      <c r="A57" t="s">
        <v>50</v>
      </c>
      <c r="B57" s="73">
        <v>22</v>
      </c>
      <c r="C57" s="4" t="s">
        <v>91</v>
      </c>
      <c r="D57" s="123">
        <f>+'YTD Nov 01 PL'!D174</f>
        <v>1023</v>
      </c>
      <c r="E57" s="14">
        <f>D57/11</f>
        <v>93</v>
      </c>
      <c r="F57" s="14">
        <f>+E57</f>
        <v>93</v>
      </c>
      <c r="G57" s="14">
        <f t="shared" ref="G57:Q57" si="43">+F57</f>
        <v>93</v>
      </c>
      <c r="H57" s="14">
        <f t="shared" si="43"/>
        <v>93</v>
      </c>
      <c r="I57" s="14">
        <f t="shared" si="43"/>
        <v>93</v>
      </c>
      <c r="J57" s="14">
        <f t="shared" si="43"/>
        <v>93</v>
      </c>
      <c r="K57" s="14">
        <f t="shared" si="43"/>
        <v>93</v>
      </c>
      <c r="L57" s="14">
        <f t="shared" si="43"/>
        <v>93</v>
      </c>
      <c r="M57" s="14">
        <f t="shared" si="43"/>
        <v>93</v>
      </c>
      <c r="N57" s="14">
        <f t="shared" si="43"/>
        <v>93</v>
      </c>
      <c r="O57" s="14">
        <f t="shared" si="43"/>
        <v>93</v>
      </c>
      <c r="P57" s="14">
        <f t="shared" si="43"/>
        <v>93</v>
      </c>
      <c r="Q57" s="14">
        <f t="shared" si="43"/>
        <v>93</v>
      </c>
      <c r="R57" s="43">
        <f>SUM(F57:Q57)</f>
        <v>1116</v>
      </c>
      <c r="S57" s="78">
        <f>R57/$R$60</f>
        <v>0.19405320813771518</v>
      </c>
      <c r="T57" s="78">
        <f>R57/$R$113</f>
        <v>3.6413697626202037E-4</v>
      </c>
      <c r="U57" s="78">
        <f>R57/SALES!$AM$55</f>
        <v>2.3871657754010695E-4</v>
      </c>
    </row>
    <row r="58" spans="1:22">
      <c r="A58" t="s">
        <v>50</v>
      </c>
      <c r="B58" s="73"/>
      <c r="C58" s="4" t="s">
        <v>92</v>
      </c>
      <c r="D58" s="123">
        <f>+'YTD Nov 01 PL'!D173</f>
        <v>4248.75</v>
      </c>
      <c r="E58" s="14">
        <f>D58/11</f>
        <v>386.25</v>
      </c>
      <c r="F58" s="14">
        <f>+E58</f>
        <v>386.25</v>
      </c>
      <c r="G58" s="14">
        <f t="shared" ref="G58:Q58" si="44">+F58</f>
        <v>386.25</v>
      </c>
      <c r="H58" s="14">
        <f t="shared" si="44"/>
        <v>386.25</v>
      </c>
      <c r="I58" s="14">
        <f t="shared" si="44"/>
        <v>386.25</v>
      </c>
      <c r="J58" s="14">
        <f t="shared" si="44"/>
        <v>386.25</v>
      </c>
      <c r="K58" s="14">
        <f t="shared" si="44"/>
        <v>386.25</v>
      </c>
      <c r="L58" s="14">
        <f t="shared" si="44"/>
        <v>386.25</v>
      </c>
      <c r="M58" s="14">
        <f t="shared" si="44"/>
        <v>386.25</v>
      </c>
      <c r="N58" s="14">
        <f t="shared" si="44"/>
        <v>386.25</v>
      </c>
      <c r="O58" s="14">
        <f t="shared" si="44"/>
        <v>386.25</v>
      </c>
      <c r="P58" s="14">
        <f t="shared" si="44"/>
        <v>386.25</v>
      </c>
      <c r="Q58" s="14">
        <f t="shared" si="44"/>
        <v>386.25</v>
      </c>
      <c r="R58" s="43">
        <f>SUM(F58:Q58)</f>
        <v>4635</v>
      </c>
      <c r="S58" s="78">
        <f>R58/$R$60</f>
        <v>0.80594679186228479</v>
      </c>
      <c r="T58" s="78">
        <f>R58/$R$113</f>
        <v>1.5123430868946813E-3</v>
      </c>
      <c r="U58" s="78">
        <f>R58/SALES!$AM$55</f>
        <v>9.9144385026737978E-4</v>
      </c>
    </row>
    <row r="59" spans="1:22">
      <c r="B59" s="73"/>
      <c r="C59" s="4"/>
      <c r="D59" s="123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43"/>
      <c r="S59" s="78"/>
      <c r="T59" s="78"/>
      <c r="U59" s="78"/>
    </row>
    <row r="60" spans="1:22">
      <c r="B60" s="73"/>
      <c r="C60" s="82" t="s">
        <v>93</v>
      </c>
      <c r="D60" s="173"/>
      <c r="E60" s="51"/>
      <c r="F60" s="51">
        <f>SUM(F57:F59)</f>
        <v>479.25</v>
      </c>
      <c r="G60" s="51">
        <f t="shared" ref="G60:R60" si="45">SUM(G57:G59)</f>
        <v>479.25</v>
      </c>
      <c r="H60" s="51">
        <f t="shared" si="45"/>
        <v>479.25</v>
      </c>
      <c r="I60" s="51">
        <f t="shared" si="45"/>
        <v>479.25</v>
      </c>
      <c r="J60" s="51">
        <f t="shared" si="45"/>
        <v>479.25</v>
      </c>
      <c r="K60" s="51">
        <f t="shared" si="45"/>
        <v>479.25</v>
      </c>
      <c r="L60" s="51">
        <f t="shared" si="45"/>
        <v>479.25</v>
      </c>
      <c r="M60" s="51">
        <f t="shared" si="45"/>
        <v>479.25</v>
      </c>
      <c r="N60" s="51">
        <f t="shared" si="45"/>
        <v>479.25</v>
      </c>
      <c r="O60" s="51">
        <f t="shared" si="45"/>
        <v>479.25</v>
      </c>
      <c r="P60" s="51">
        <f t="shared" si="45"/>
        <v>479.25</v>
      </c>
      <c r="Q60" s="51">
        <f t="shared" si="45"/>
        <v>479.25</v>
      </c>
      <c r="R60" s="51">
        <f t="shared" si="45"/>
        <v>5751</v>
      </c>
      <c r="S60" s="83">
        <f>R60/$R$60</f>
        <v>1</v>
      </c>
      <c r="T60" s="83">
        <f>R60/$R$113</f>
        <v>1.8764800631567017E-3</v>
      </c>
      <c r="U60" s="83">
        <f>R60/SALES!$AM$55</f>
        <v>1.2301604278074866E-3</v>
      </c>
      <c r="V60" s="45">
        <f>SUM(F57:Q59)</f>
        <v>5751</v>
      </c>
    </row>
    <row r="61" spans="1:22">
      <c r="B61" s="73"/>
      <c r="C61" s="47"/>
      <c r="D61" s="174"/>
      <c r="E61" s="88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43"/>
      <c r="S61" s="78"/>
      <c r="T61" s="78"/>
      <c r="U61" s="78"/>
    </row>
    <row r="62" spans="1:22">
      <c r="B62" s="73"/>
      <c r="C62" s="65" t="s">
        <v>94</v>
      </c>
      <c r="D62" s="168"/>
      <c r="E62" s="85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43"/>
      <c r="S62" s="78"/>
      <c r="T62" s="78"/>
      <c r="U62" s="78"/>
    </row>
    <row r="63" spans="1:22">
      <c r="A63" t="s">
        <v>50</v>
      </c>
      <c r="B63" s="73">
        <v>23</v>
      </c>
      <c r="C63" s="4" t="s">
        <v>95</v>
      </c>
      <c r="D63" s="14">
        <f>+'YTD Nov 01 PL'!D177</f>
        <v>80522.33</v>
      </c>
      <c r="E63" s="14">
        <f>D63/11</f>
        <v>7320.2118181818187</v>
      </c>
      <c r="F63" s="14">
        <v>5000</v>
      </c>
      <c r="G63" s="14">
        <f>+F63</f>
        <v>5000</v>
      </c>
      <c r="H63" s="14">
        <v>30000</v>
      </c>
      <c r="I63" s="14">
        <v>9000</v>
      </c>
      <c r="J63" s="14">
        <f t="shared" ref="J63:Q63" si="46">+I63</f>
        <v>9000</v>
      </c>
      <c r="K63" s="14">
        <v>7000</v>
      </c>
      <c r="L63" s="14">
        <v>5000</v>
      </c>
      <c r="M63" s="14">
        <f t="shared" si="46"/>
        <v>5000</v>
      </c>
      <c r="N63" s="14">
        <f t="shared" si="46"/>
        <v>5000</v>
      </c>
      <c r="O63" s="14">
        <v>6000</v>
      </c>
      <c r="P63" s="14">
        <f t="shared" si="46"/>
        <v>6000</v>
      </c>
      <c r="Q63" s="14">
        <f t="shared" si="46"/>
        <v>6000</v>
      </c>
      <c r="R63" s="43">
        <f>SUM(F63:Q63)</f>
        <v>98000</v>
      </c>
      <c r="S63" s="78">
        <f>R63/$R$68</f>
        <v>0.52127659574468088</v>
      </c>
      <c r="T63" s="78">
        <f>R63/$R$113</f>
        <v>3.1976186087525088E-2</v>
      </c>
      <c r="U63" s="78">
        <f>R63/SALES!$AM$55</f>
        <v>2.0962566844919785E-2</v>
      </c>
    </row>
    <row r="64" spans="1:22">
      <c r="A64" t="s">
        <v>50</v>
      </c>
      <c r="B64" s="73"/>
      <c r="C64" s="4" t="s">
        <v>96</v>
      </c>
      <c r="D64" s="14">
        <f>+'YTD Nov 01 PL'!D178</f>
        <v>44765.5</v>
      </c>
      <c r="E64" s="14">
        <f>D64/11</f>
        <v>4069.590909090909</v>
      </c>
      <c r="F64" s="14">
        <v>3000</v>
      </c>
      <c r="G64" s="14">
        <f>+F64</f>
        <v>3000</v>
      </c>
      <c r="H64" s="14">
        <v>20000</v>
      </c>
      <c r="I64" s="14">
        <v>3000</v>
      </c>
      <c r="J64" s="14">
        <f t="shared" ref="J64:Q64" si="47">+I64</f>
        <v>3000</v>
      </c>
      <c r="K64" s="14">
        <f t="shared" si="47"/>
        <v>3000</v>
      </c>
      <c r="L64" s="14">
        <f t="shared" si="47"/>
        <v>3000</v>
      </c>
      <c r="M64" s="14">
        <v>2000</v>
      </c>
      <c r="N64" s="14">
        <f t="shared" si="47"/>
        <v>2000</v>
      </c>
      <c r="O64" s="14">
        <f t="shared" si="47"/>
        <v>2000</v>
      </c>
      <c r="P64" s="14">
        <v>2000</v>
      </c>
      <c r="Q64" s="14">
        <f t="shared" si="47"/>
        <v>2000</v>
      </c>
      <c r="R64" s="43">
        <f>SUM(F64:Q64)</f>
        <v>48000</v>
      </c>
      <c r="S64" s="78">
        <f>R64/$R$68</f>
        <v>0.25531914893617019</v>
      </c>
      <c r="T64" s="78">
        <f>R64/$R$113</f>
        <v>1.5661805430624533E-2</v>
      </c>
      <c r="U64" s="78">
        <f>R64/SALES!$AM$55</f>
        <v>1.0267379679144385E-2</v>
      </c>
    </row>
    <row r="65" spans="1:22">
      <c r="B65" s="73"/>
      <c r="C65" s="21" t="s">
        <v>187</v>
      </c>
      <c r="D65" s="14"/>
      <c r="E65" s="14">
        <f>D65/11</f>
        <v>0</v>
      </c>
      <c r="F65" s="14"/>
      <c r="G65" s="14">
        <f>+F65</f>
        <v>0</v>
      </c>
      <c r="H65" s="14">
        <f t="shared" ref="H65:Q65" si="48">+G65</f>
        <v>0</v>
      </c>
      <c r="I65" s="14">
        <f t="shared" si="48"/>
        <v>0</v>
      </c>
      <c r="J65" s="14">
        <f t="shared" si="48"/>
        <v>0</v>
      </c>
      <c r="K65" s="14">
        <f t="shared" si="48"/>
        <v>0</v>
      </c>
      <c r="L65" s="14">
        <f t="shared" si="48"/>
        <v>0</v>
      </c>
      <c r="M65" s="14">
        <f t="shared" si="48"/>
        <v>0</v>
      </c>
      <c r="N65" s="14">
        <f t="shared" si="48"/>
        <v>0</v>
      </c>
      <c r="O65" s="14">
        <v>42000</v>
      </c>
      <c r="P65" s="14"/>
      <c r="Q65" s="14">
        <f t="shared" si="48"/>
        <v>0</v>
      </c>
      <c r="R65" s="43">
        <f>SUM(F65:Q65)</f>
        <v>42000</v>
      </c>
      <c r="S65" s="78">
        <f>R65/$R$68</f>
        <v>0.22340425531914893</v>
      </c>
      <c r="T65" s="78">
        <f>R65/$R$113</f>
        <v>1.3704079751796466E-2</v>
      </c>
      <c r="U65" s="78">
        <f>R65/SALES!$AM$55</f>
        <v>8.9839572192513366E-3</v>
      </c>
    </row>
    <row r="66" spans="1:22">
      <c r="B66" s="73"/>
      <c r="C66" s="21" t="s">
        <v>188</v>
      </c>
      <c r="D66" s="123">
        <v>0</v>
      </c>
      <c r="E66" s="14">
        <f>D66/12</f>
        <v>0</v>
      </c>
      <c r="F66" s="14">
        <f>+E66</f>
        <v>0</v>
      </c>
      <c r="G66" s="14">
        <f>+F66</f>
        <v>0</v>
      </c>
      <c r="H66" s="14">
        <f t="shared" ref="H66:Q66" si="49">+G66</f>
        <v>0</v>
      </c>
      <c r="I66" s="14">
        <f t="shared" si="49"/>
        <v>0</v>
      </c>
      <c r="J66" s="14">
        <f t="shared" si="49"/>
        <v>0</v>
      </c>
      <c r="K66" s="14">
        <f t="shared" si="49"/>
        <v>0</v>
      </c>
      <c r="L66" s="14">
        <f t="shared" si="49"/>
        <v>0</v>
      </c>
      <c r="M66" s="14">
        <f t="shared" si="49"/>
        <v>0</v>
      </c>
      <c r="N66" s="14">
        <f t="shared" si="49"/>
        <v>0</v>
      </c>
      <c r="O66" s="14">
        <f t="shared" si="49"/>
        <v>0</v>
      </c>
      <c r="P66" s="14">
        <f t="shared" si="49"/>
        <v>0</v>
      </c>
      <c r="Q66" s="14">
        <f t="shared" si="49"/>
        <v>0</v>
      </c>
      <c r="R66" s="43">
        <f>SUM(F66:Q66)</f>
        <v>0</v>
      </c>
      <c r="S66" s="78">
        <f>R66/$R$68</f>
        <v>0</v>
      </c>
      <c r="T66" s="78">
        <f>R66/$R$113</f>
        <v>0</v>
      </c>
      <c r="U66" s="78">
        <f>R66/SALES!$AM$55</f>
        <v>0</v>
      </c>
    </row>
    <row r="67" spans="1:22">
      <c r="B67" s="73"/>
      <c r="C67" s="21"/>
      <c r="D67" s="123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43"/>
      <c r="S67" s="78"/>
      <c r="T67" s="78"/>
      <c r="U67" s="78"/>
    </row>
    <row r="68" spans="1:22">
      <c r="B68" s="73"/>
      <c r="C68" s="82" t="s">
        <v>97</v>
      </c>
      <c r="D68" s="173"/>
      <c r="E68" s="51"/>
      <c r="F68" s="51">
        <f>SUM(F63:F65)</f>
        <v>8000</v>
      </c>
      <c r="G68" s="51">
        <f t="shared" ref="G68:R68" si="50">SUM(G63:G65)</f>
        <v>8000</v>
      </c>
      <c r="H68" s="51">
        <f t="shared" si="50"/>
        <v>50000</v>
      </c>
      <c r="I68" s="51">
        <f t="shared" si="50"/>
        <v>12000</v>
      </c>
      <c r="J68" s="51">
        <f t="shared" si="50"/>
        <v>12000</v>
      </c>
      <c r="K68" s="51">
        <f t="shared" si="50"/>
        <v>10000</v>
      </c>
      <c r="L68" s="51">
        <f t="shared" si="50"/>
        <v>8000</v>
      </c>
      <c r="M68" s="51">
        <f t="shared" si="50"/>
        <v>7000</v>
      </c>
      <c r="N68" s="51">
        <f t="shared" si="50"/>
        <v>7000</v>
      </c>
      <c r="O68" s="51">
        <f t="shared" si="50"/>
        <v>50000</v>
      </c>
      <c r="P68" s="51">
        <f t="shared" si="50"/>
        <v>8000</v>
      </c>
      <c r="Q68" s="51">
        <f t="shared" si="50"/>
        <v>8000</v>
      </c>
      <c r="R68" s="51">
        <f t="shared" si="50"/>
        <v>188000</v>
      </c>
      <c r="S68" s="83">
        <f>R68/$R$68</f>
        <v>1</v>
      </c>
      <c r="T68" s="83">
        <f>R68/$R$113</f>
        <v>6.1342071269946084E-2</v>
      </c>
      <c r="U68" s="83">
        <f>R68/SALES!$AM$55</f>
        <v>4.0213903743315509E-2</v>
      </c>
      <c r="V68" s="45">
        <f>SUM(F68:Q68)</f>
        <v>188000</v>
      </c>
    </row>
    <row r="69" spans="1:22">
      <c r="B69" s="73"/>
      <c r="E69" s="52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43"/>
      <c r="S69" s="78"/>
      <c r="T69" s="78"/>
      <c r="U69" s="89"/>
    </row>
    <row r="70" spans="1:22">
      <c r="B70" s="73"/>
      <c r="C70" s="65" t="s">
        <v>16</v>
      </c>
      <c r="D70" s="168"/>
      <c r="E70" s="85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43"/>
      <c r="S70" s="78"/>
      <c r="T70" s="78"/>
      <c r="U70" s="78"/>
    </row>
    <row r="71" spans="1:22">
      <c r="A71" t="s">
        <v>50</v>
      </c>
      <c r="B71" s="73"/>
      <c r="C71" t="s">
        <v>98</v>
      </c>
      <c r="D71" s="163">
        <v>0</v>
      </c>
      <c r="E71" s="52">
        <f>D71/12</f>
        <v>0</v>
      </c>
      <c r="F71" s="14">
        <f>+E71</f>
        <v>0</v>
      </c>
      <c r="G71" s="14">
        <f t="shared" ref="G71:Q71" si="51">+F71</f>
        <v>0</v>
      </c>
      <c r="H71" s="14">
        <f t="shared" si="51"/>
        <v>0</v>
      </c>
      <c r="I71" s="14">
        <f t="shared" si="51"/>
        <v>0</v>
      </c>
      <c r="J71" s="14">
        <f t="shared" si="51"/>
        <v>0</v>
      </c>
      <c r="K71" s="14">
        <f t="shared" si="51"/>
        <v>0</v>
      </c>
      <c r="L71" s="14">
        <f t="shared" si="51"/>
        <v>0</v>
      </c>
      <c r="M71" s="14">
        <f t="shared" si="51"/>
        <v>0</v>
      </c>
      <c r="N71" s="14">
        <f t="shared" si="51"/>
        <v>0</v>
      </c>
      <c r="O71" s="14">
        <f t="shared" si="51"/>
        <v>0</v>
      </c>
      <c r="P71" s="14">
        <f t="shared" si="51"/>
        <v>0</v>
      </c>
      <c r="Q71" s="14">
        <f t="shared" si="51"/>
        <v>0</v>
      </c>
      <c r="R71" s="43">
        <f>SUM(F71:Q71)</f>
        <v>0</v>
      </c>
      <c r="S71" s="78">
        <f>R71/$R$77</f>
        <v>0</v>
      </c>
      <c r="T71" s="78">
        <f>R71/$R$113</f>
        <v>0</v>
      </c>
      <c r="U71" s="78">
        <f>R71/SALES!$AM$55</f>
        <v>0</v>
      </c>
    </row>
    <row r="72" spans="1:22">
      <c r="B72" s="73"/>
      <c r="C72" t="s">
        <v>99</v>
      </c>
      <c r="D72" s="163">
        <v>0</v>
      </c>
      <c r="E72" s="52">
        <f>D72/12</f>
        <v>0</v>
      </c>
      <c r="F72" s="14">
        <f>+E72</f>
        <v>0</v>
      </c>
      <c r="G72" s="14">
        <f t="shared" ref="G72:Q72" si="52">+F72</f>
        <v>0</v>
      </c>
      <c r="H72" s="14">
        <f t="shared" si="52"/>
        <v>0</v>
      </c>
      <c r="I72" s="14">
        <f t="shared" si="52"/>
        <v>0</v>
      </c>
      <c r="J72" s="14">
        <f t="shared" si="52"/>
        <v>0</v>
      </c>
      <c r="K72" s="14">
        <f t="shared" si="52"/>
        <v>0</v>
      </c>
      <c r="L72" s="14">
        <f t="shared" si="52"/>
        <v>0</v>
      </c>
      <c r="M72" s="14">
        <f t="shared" si="52"/>
        <v>0</v>
      </c>
      <c r="N72" s="14">
        <f t="shared" si="52"/>
        <v>0</v>
      </c>
      <c r="O72" s="14">
        <f t="shared" si="52"/>
        <v>0</v>
      </c>
      <c r="P72" s="14">
        <f t="shared" si="52"/>
        <v>0</v>
      </c>
      <c r="Q72" s="14">
        <f t="shared" si="52"/>
        <v>0</v>
      </c>
      <c r="R72" s="43">
        <f>SUM(F72:Q72)</f>
        <v>0</v>
      </c>
      <c r="S72" s="78">
        <f>R72/$R$77</f>
        <v>0</v>
      </c>
      <c r="T72" s="78">
        <f>R72/$R$113</f>
        <v>0</v>
      </c>
      <c r="U72" s="78">
        <f>R72/SALES!$AM$55</f>
        <v>0</v>
      </c>
    </row>
    <row r="73" spans="1:22">
      <c r="A73" t="s">
        <v>50</v>
      </c>
      <c r="B73" s="73"/>
      <c r="C73" t="s">
        <v>100</v>
      </c>
      <c r="D73" s="163">
        <v>8000</v>
      </c>
      <c r="E73" s="52">
        <v>625</v>
      </c>
      <c r="F73" s="14">
        <v>650</v>
      </c>
      <c r="G73" s="14">
        <v>720</v>
      </c>
      <c r="H73" s="14">
        <v>700</v>
      </c>
      <c r="I73" s="14">
        <f t="shared" ref="I73:P73" si="53">+H73</f>
        <v>700</v>
      </c>
      <c r="J73" s="14">
        <v>950</v>
      </c>
      <c r="K73" s="14">
        <f t="shared" si="53"/>
        <v>950</v>
      </c>
      <c r="L73" s="14">
        <f t="shared" si="53"/>
        <v>950</v>
      </c>
      <c r="M73" s="14">
        <f t="shared" si="53"/>
        <v>950</v>
      </c>
      <c r="N73" s="14">
        <v>650</v>
      </c>
      <c r="O73" s="14">
        <v>650</v>
      </c>
      <c r="P73" s="14">
        <f t="shared" si="53"/>
        <v>650</v>
      </c>
      <c r="Q73" s="14">
        <v>750</v>
      </c>
      <c r="R73" s="43">
        <f>SUM(F73:Q73)</f>
        <v>9270</v>
      </c>
      <c r="S73" s="78">
        <f>R73/$R$77</f>
        <v>0.94362355888499727</v>
      </c>
      <c r="T73" s="78">
        <f>R73/$R$113</f>
        <v>3.0246861737893626E-3</v>
      </c>
      <c r="U73" s="78">
        <f>R73/SALES!$AM$55</f>
        <v>1.9828877005347596E-3</v>
      </c>
    </row>
    <row r="74" spans="1:22">
      <c r="A74" t="s">
        <v>50</v>
      </c>
      <c r="B74" s="73"/>
      <c r="C74" t="s">
        <v>101</v>
      </c>
      <c r="D74" s="163">
        <f>+'YTD Nov 01 PL'!D190</f>
        <v>201.72</v>
      </c>
      <c r="E74" s="52">
        <f>D74/11</f>
        <v>18.33818181818182</v>
      </c>
      <c r="F74" s="14">
        <f>+E74</f>
        <v>18.33818181818182</v>
      </c>
      <c r="G74" s="14">
        <f t="shared" ref="G74:Q74" si="54">+F74</f>
        <v>18.33818181818182</v>
      </c>
      <c r="H74" s="14">
        <f t="shared" si="54"/>
        <v>18.33818181818182</v>
      </c>
      <c r="I74" s="14">
        <f t="shared" si="54"/>
        <v>18.33818181818182</v>
      </c>
      <c r="J74" s="14">
        <f t="shared" si="54"/>
        <v>18.33818181818182</v>
      </c>
      <c r="K74" s="14">
        <f t="shared" si="54"/>
        <v>18.33818181818182</v>
      </c>
      <c r="L74" s="14">
        <f t="shared" si="54"/>
        <v>18.33818181818182</v>
      </c>
      <c r="M74" s="14">
        <f t="shared" si="54"/>
        <v>18.33818181818182</v>
      </c>
      <c r="N74" s="14">
        <f t="shared" si="54"/>
        <v>18.33818181818182</v>
      </c>
      <c r="O74" s="14">
        <f t="shared" si="54"/>
        <v>18.33818181818182</v>
      </c>
      <c r="P74" s="14">
        <f t="shared" si="54"/>
        <v>18.33818181818182</v>
      </c>
      <c r="Q74" s="14">
        <f t="shared" si="54"/>
        <v>18.33818181818182</v>
      </c>
      <c r="R74" s="43">
        <f>SUM(F74:Q74)</f>
        <v>220.05818181818185</v>
      </c>
      <c r="S74" s="78">
        <f>R74/$R$77</f>
        <v>2.2400440635278809E-2</v>
      </c>
      <c r="T74" s="78">
        <f>R74/$R$113</f>
        <v>7.1802258896945021E-5</v>
      </c>
      <c r="U74" s="78">
        <f>R74/SALES!$AM$55</f>
        <v>4.7071268838113762E-5</v>
      </c>
    </row>
    <row r="75" spans="1:22">
      <c r="B75" s="73">
        <v>25</v>
      </c>
      <c r="C75" t="s">
        <v>189</v>
      </c>
      <c r="D75" s="163">
        <f>+'YTD Nov 01 PL'!D199</f>
        <v>305.95999999999998</v>
      </c>
      <c r="E75" s="52">
        <f>D75/11</f>
        <v>27.814545454545453</v>
      </c>
      <c r="F75" s="14">
        <f>+E75</f>
        <v>27.814545454545453</v>
      </c>
      <c r="G75" s="14">
        <f t="shared" ref="G75:Q75" si="55">+F75</f>
        <v>27.814545454545453</v>
      </c>
      <c r="H75" s="14">
        <f t="shared" si="55"/>
        <v>27.814545454545453</v>
      </c>
      <c r="I75" s="14">
        <f t="shared" si="55"/>
        <v>27.814545454545453</v>
      </c>
      <c r="J75" s="14">
        <f t="shared" si="55"/>
        <v>27.814545454545453</v>
      </c>
      <c r="K75" s="14">
        <f t="shared" si="55"/>
        <v>27.814545454545453</v>
      </c>
      <c r="L75" s="14">
        <f t="shared" si="55"/>
        <v>27.814545454545453</v>
      </c>
      <c r="M75" s="14">
        <f t="shared" si="55"/>
        <v>27.814545454545453</v>
      </c>
      <c r="N75" s="14">
        <f t="shared" si="55"/>
        <v>27.814545454545453</v>
      </c>
      <c r="O75" s="14">
        <f t="shared" si="55"/>
        <v>27.814545454545453</v>
      </c>
      <c r="P75" s="14">
        <f t="shared" si="55"/>
        <v>27.814545454545453</v>
      </c>
      <c r="Q75" s="14">
        <f t="shared" si="55"/>
        <v>27.814545454545453</v>
      </c>
      <c r="R75" s="43">
        <f>SUM(F75:Q75)</f>
        <v>333.77454545454543</v>
      </c>
      <c r="S75" s="78">
        <f>R75/$R$77</f>
        <v>3.3976000479723892E-2</v>
      </c>
      <c r="T75" s="78">
        <f>R75/$R$113</f>
        <v>1.0890649976258822E-4</v>
      </c>
      <c r="U75" s="78">
        <f>R75/SALES!$AM$55</f>
        <v>7.1395624696159456E-5</v>
      </c>
    </row>
    <row r="76" spans="1:22">
      <c r="B76" s="73"/>
      <c r="E76" s="52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43"/>
      <c r="S76" s="78"/>
      <c r="T76" s="78"/>
      <c r="U76" s="78"/>
    </row>
    <row r="77" spans="1:22">
      <c r="B77" s="73"/>
      <c r="C77" s="82" t="s">
        <v>102</v>
      </c>
      <c r="D77" s="173"/>
      <c r="E77" s="51">
        <f>SUM(E71:E76)</f>
        <v>671.15272727272736</v>
      </c>
      <c r="F77" s="51">
        <f>SUM(F71:F76)</f>
        <v>696.15272727272736</v>
      </c>
      <c r="G77" s="51">
        <f>SUM(G71:G75)</f>
        <v>766.15272727272736</v>
      </c>
      <c r="H77" s="51">
        <f>SUM(H71:H75)</f>
        <v>746.15272727272736</v>
      </c>
      <c r="I77" s="51">
        <f t="shared" ref="I77:R77" si="56">SUM(I71:I75)</f>
        <v>746.15272727272736</v>
      </c>
      <c r="J77" s="51">
        <f t="shared" si="56"/>
        <v>996.15272727272736</v>
      </c>
      <c r="K77" s="51">
        <f t="shared" si="56"/>
        <v>996.15272727272736</v>
      </c>
      <c r="L77" s="51">
        <f t="shared" si="56"/>
        <v>996.15272727272736</v>
      </c>
      <c r="M77" s="51">
        <f t="shared" si="56"/>
        <v>996.15272727272736</v>
      </c>
      <c r="N77" s="51">
        <f t="shared" si="56"/>
        <v>696.15272727272736</v>
      </c>
      <c r="O77" s="51">
        <f t="shared" si="56"/>
        <v>696.15272727272736</v>
      </c>
      <c r="P77" s="51">
        <f t="shared" si="56"/>
        <v>696.15272727272736</v>
      </c>
      <c r="Q77" s="51">
        <f t="shared" si="56"/>
        <v>796.15272727272736</v>
      </c>
      <c r="R77" s="51">
        <f t="shared" si="56"/>
        <v>9823.8327272727274</v>
      </c>
      <c r="S77" s="83">
        <f>R77/$R$77</f>
        <v>1</v>
      </c>
      <c r="T77" s="83">
        <f>R77/$R$113</f>
        <v>3.2053949324488962E-3</v>
      </c>
      <c r="U77" s="83">
        <f>R77/SALES!$AM$55</f>
        <v>2.1013545940690324E-3</v>
      </c>
      <c r="V77" s="45">
        <f>SUM(F77:Q77)</f>
        <v>9823.8327272727274</v>
      </c>
    </row>
    <row r="78" spans="1:22">
      <c r="B78" s="73"/>
      <c r="C78" s="90"/>
      <c r="D78" s="175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2"/>
      <c r="S78" s="93"/>
      <c r="T78" s="93"/>
      <c r="U78" s="93"/>
      <c r="V78" s="45"/>
    </row>
    <row r="79" spans="1:22">
      <c r="B79" s="73"/>
      <c r="C79" s="82" t="s">
        <v>103</v>
      </c>
      <c r="D79" s="173"/>
      <c r="E79" s="51"/>
      <c r="F79" s="51">
        <f t="shared" ref="F79:R79" si="57">SUM(F18+F41+F47+F54+F60+F68+F77)</f>
        <v>207494.63990909094</v>
      </c>
      <c r="G79" s="51">
        <f t="shared" si="57"/>
        <v>207564.63990909094</v>
      </c>
      <c r="H79" s="51">
        <f t="shared" si="57"/>
        <v>249544.63990909094</v>
      </c>
      <c r="I79" s="51">
        <f t="shared" si="57"/>
        <v>211544.63990909094</v>
      </c>
      <c r="J79" s="51">
        <f t="shared" si="57"/>
        <v>211794.63990909094</v>
      </c>
      <c r="K79" s="51">
        <f t="shared" si="57"/>
        <v>209794.63990909094</v>
      </c>
      <c r="L79" s="51">
        <f t="shared" si="57"/>
        <v>207794.63990909094</v>
      </c>
      <c r="M79" s="51">
        <f t="shared" si="57"/>
        <v>206794.63990909094</v>
      </c>
      <c r="N79" s="51">
        <f t="shared" si="57"/>
        <v>219598.38990909094</v>
      </c>
      <c r="O79" s="51">
        <f t="shared" si="57"/>
        <v>262598.38990909094</v>
      </c>
      <c r="P79" s="51">
        <f t="shared" si="57"/>
        <v>220598.38990909094</v>
      </c>
      <c r="Q79" s="51">
        <f t="shared" si="57"/>
        <v>220698.38990909094</v>
      </c>
      <c r="R79" s="51">
        <f t="shared" si="57"/>
        <v>2635820.6789090908</v>
      </c>
      <c r="S79" s="83"/>
      <c r="T79" s="83">
        <f>R79/$R$113</f>
        <v>0.8600356379810592</v>
      </c>
      <c r="U79" s="83">
        <f>R79/SALES!$AM$55</f>
        <v>0.5638119099270783</v>
      </c>
      <c r="V79" s="45">
        <f>SUM(F79:Q79)</f>
        <v>2635820.6789090913</v>
      </c>
    </row>
    <row r="80" spans="1:22">
      <c r="B80" s="73"/>
      <c r="C80" s="94"/>
      <c r="D80" s="176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95"/>
      <c r="S80" s="36"/>
      <c r="T80" s="96"/>
      <c r="U80" s="96"/>
      <c r="V80" s="45"/>
    </row>
    <row r="81" spans="2:22">
      <c r="B81" s="73"/>
      <c r="C81" t="s">
        <v>21</v>
      </c>
      <c r="D81" s="163">
        <v>120000</v>
      </c>
      <c r="E81" s="52">
        <f>D81/12</f>
        <v>10000</v>
      </c>
      <c r="F81" s="52">
        <f t="shared" ref="F81:Q81" si="58">+$D$81/12</f>
        <v>10000</v>
      </c>
      <c r="G81" s="52">
        <f t="shared" si="58"/>
        <v>10000</v>
      </c>
      <c r="H81" s="52">
        <f t="shared" si="58"/>
        <v>10000</v>
      </c>
      <c r="I81" s="52">
        <f t="shared" si="58"/>
        <v>10000</v>
      </c>
      <c r="J81" s="52">
        <f t="shared" si="58"/>
        <v>10000</v>
      </c>
      <c r="K81" s="52">
        <f t="shared" si="58"/>
        <v>10000</v>
      </c>
      <c r="L81" s="52">
        <f t="shared" si="58"/>
        <v>10000</v>
      </c>
      <c r="M81" s="52">
        <f t="shared" si="58"/>
        <v>10000</v>
      </c>
      <c r="N81" s="52">
        <f t="shared" si="58"/>
        <v>10000</v>
      </c>
      <c r="O81" s="52">
        <f t="shared" si="58"/>
        <v>10000</v>
      </c>
      <c r="P81" s="52">
        <f t="shared" si="58"/>
        <v>10000</v>
      </c>
      <c r="Q81" s="52">
        <f t="shared" si="58"/>
        <v>10000</v>
      </c>
      <c r="R81" s="43">
        <f>SUM(F81:Q81)</f>
        <v>120000</v>
      </c>
      <c r="S81" s="78">
        <f>R81/R83</f>
        <v>4.3544197530117512E-2</v>
      </c>
      <c r="T81" s="78">
        <f>R81/$R$113</f>
        <v>3.9154513576561328E-2</v>
      </c>
      <c r="U81" s="78">
        <f>R81/SALES!$AM$55</f>
        <v>2.5668449197860963E-2</v>
      </c>
      <c r="V81" s="45">
        <v>120000</v>
      </c>
    </row>
    <row r="82" spans="2:22">
      <c r="B82" s="73"/>
      <c r="C82" s="94"/>
      <c r="D82" s="176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8"/>
      <c r="S82" s="36"/>
      <c r="T82" s="96"/>
      <c r="U82" s="96"/>
      <c r="V82" s="45"/>
    </row>
    <row r="83" spans="2:22">
      <c r="B83" s="73"/>
      <c r="C83" s="82" t="s">
        <v>104</v>
      </c>
      <c r="D83" s="173"/>
      <c r="E83" s="51"/>
      <c r="F83" s="51">
        <f t="shared" ref="F83:R83" si="59">F81+F79</f>
        <v>217494.63990909094</v>
      </c>
      <c r="G83" s="51">
        <f t="shared" si="59"/>
        <v>217564.63990909094</v>
      </c>
      <c r="H83" s="51">
        <f t="shared" si="59"/>
        <v>259544.63990909094</v>
      </c>
      <c r="I83" s="51">
        <f t="shared" si="59"/>
        <v>221544.63990909094</v>
      </c>
      <c r="J83" s="51">
        <f t="shared" si="59"/>
        <v>221794.63990909094</v>
      </c>
      <c r="K83" s="51">
        <f t="shared" si="59"/>
        <v>219794.63990909094</v>
      </c>
      <c r="L83" s="51">
        <f t="shared" si="59"/>
        <v>217794.63990909094</v>
      </c>
      <c r="M83" s="51">
        <f t="shared" si="59"/>
        <v>216794.63990909094</v>
      </c>
      <c r="N83" s="51">
        <f t="shared" si="59"/>
        <v>229598.38990909094</v>
      </c>
      <c r="O83" s="51">
        <f t="shared" si="59"/>
        <v>272598.38990909094</v>
      </c>
      <c r="P83" s="51">
        <f t="shared" si="59"/>
        <v>230598.38990909094</v>
      </c>
      <c r="Q83" s="51">
        <f t="shared" si="59"/>
        <v>230698.38990909094</v>
      </c>
      <c r="R83" s="51">
        <f t="shared" si="59"/>
        <v>2755820.6789090908</v>
      </c>
      <c r="S83" s="167">
        <f>R83/$R$83</f>
        <v>1</v>
      </c>
      <c r="T83" s="83">
        <f>R83/$R$113</f>
        <v>0.8991901515576205</v>
      </c>
      <c r="U83" s="83">
        <f>R83/SALES!$AM$55</f>
        <v>0.58948035912493923</v>
      </c>
      <c r="V83" s="45"/>
    </row>
    <row r="84" spans="2:22">
      <c r="B84" s="73"/>
      <c r="E84" s="52"/>
      <c r="R84" s="41"/>
      <c r="S84" s="78"/>
      <c r="T84" s="78"/>
      <c r="U84" s="78"/>
    </row>
    <row r="85" spans="2:22">
      <c r="B85" s="73"/>
      <c r="C85" s="65" t="s">
        <v>105</v>
      </c>
      <c r="D85" s="168"/>
      <c r="E85" s="85"/>
      <c r="R85" s="41"/>
      <c r="S85" s="78"/>
      <c r="T85" s="78"/>
      <c r="U85" s="78"/>
    </row>
    <row r="86" spans="2:22">
      <c r="B86" s="73"/>
      <c r="E86" s="97"/>
      <c r="R86" s="41"/>
      <c r="S86" s="78"/>
      <c r="T86" s="78"/>
      <c r="U86" s="78"/>
    </row>
    <row r="87" spans="2:22">
      <c r="B87" s="73">
        <v>26</v>
      </c>
      <c r="C87" s="98" t="s">
        <v>23</v>
      </c>
      <c r="D87" s="177"/>
      <c r="S87" s="78"/>
      <c r="T87" s="78"/>
      <c r="U87" s="78"/>
    </row>
    <row r="88" spans="2:22">
      <c r="B88" s="73"/>
      <c r="C88" t="s">
        <v>106</v>
      </c>
      <c r="D88" s="163">
        <f>+'YTD Nov 01 PL'!D203</f>
        <v>22946</v>
      </c>
      <c r="E88" s="52">
        <f>D88/11</f>
        <v>2086</v>
      </c>
      <c r="F88" s="52">
        <f>+Capex!E32</f>
        <v>2086.2999999999997</v>
      </c>
      <c r="G88" s="52">
        <f>+Capex!E32</f>
        <v>2086.2999999999997</v>
      </c>
      <c r="H88" s="52">
        <f>+G88</f>
        <v>2086.2999999999997</v>
      </c>
      <c r="I88" s="52">
        <f t="shared" ref="I88:Q88" si="60">+H88</f>
        <v>2086.2999999999997</v>
      </c>
      <c r="J88" s="52">
        <f t="shared" si="60"/>
        <v>2086.2999999999997</v>
      </c>
      <c r="K88" s="52">
        <f t="shared" si="60"/>
        <v>2086.2999999999997</v>
      </c>
      <c r="L88" s="52">
        <f t="shared" si="60"/>
        <v>2086.2999999999997</v>
      </c>
      <c r="M88" s="52">
        <f t="shared" si="60"/>
        <v>2086.2999999999997</v>
      </c>
      <c r="N88" s="52">
        <f t="shared" si="60"/>
        <v>2086.2999999999997</v>
      </c>
      <c r="O88" s="52">
        <f t="shared" si="60"/>
        <v>2086.2999999999997</v>
      </c>
      <c r="P88" s="52">
        <f t="shared" si="60"/>
        <v>2086.2999999999997</v>
      </c>
      <c r="Q88" s="52">
        <f t="shared" si="60"/>
        <v>2086.2999999999997</v>
      </c>
      <c r="R88" s="43">
        <f t="shared" ref="R88:R100" si="61">SUM(F88:Q88)</f>
        <v>25035.599999999995</v>
      </c>
      <c r="S88" s="78">
        <f t="shared" ref="S88:S102" si="62">R88/$R$102</f>
        <v>8.5701937465805691E-2</v>
      </c>
      <c r="T88" s="78">
        <f t="shared" ref="T88:T102" si="63">R88/$R$113</f>
        <v>8.1688061674779888E-3</v>
      </c>
      <c r="U88" s="78">
        <f>R88/SALES!$AM$55</f>
        <v>5.3552085561497315E-3</v>
      </c>
    </row>
    <row r="89" spans="2:22">
      <c r="B89" s="73"/>
      <c r="C89" t="s">
        <v>107</v>
      </c>
      <c r="E89" s="52">
        <f t="shared" ref="E89:E99" si="64">D89/11</f>
        <v>0</v>
      </c>
      <c r="F89" s="52">
        <f>E89</f>
        <v>0</v>
      </c>
      <c r="G89" s="52">
        <f>+F89</f>
        <v>0</v>
      </c>
      <c r="H89" s="52">
        <f t="shared" ref="H89:H99" si="65">G89</f>
        <v>0</v>
      </c>
      <c r="I89" s="52">
        <f t="shared" ref="I89:Q89" si="66">H89</f>
        <v>0</v>
      </c>
      <c r="J89" s="52">
        <f t="shared" si="66"/>
        <v>0</v>
      </c>
      <c r="K89" s="52">
        <f t="shared" si="66"/>
        <v>0</v>
      </c>
      <c r="L89" s="52">
        <f t="shared" si="66"/>
        <v>0</v>
      </c>
      <c r="M89" s="52">
        <f t="shared" si="66"/>
        <v>0</v>
      </c>
      <c r="N89" s="52">
        <f t="shared" si="66"/>
        <v>0</v>
      </c>
      <c r="O89" s="52">
        <f t="shared" si="66"/>
        <v>0</v>
      </c>
      <c r="P89" s="52">
        <f t="shared" si="66"/>
        <v>0</v>
      </c>
      <c r="Q89" s="52">
        <f t="shared" si="66"/>
        <v>0</v>
      </c>
      <c r="R89" s="43">
        <f t="shared" si="61"/>
        <v>0</v>
      </c>
      <c r="S89" s="78">
        <f t="shared" si="62"/>
        <v>0</v>
      </c>
      <c r="T89" s="78">
        <f t="shared" si="63"/>
        <v>0</v>
      </c>
      <c r="U89" s="78">
        <f>R89/SALES!$AM$55</f>
        <v>0</v>
      </c>
    </row>
    <row r="90" spans="2:22">
      <c r="B90" s="73"/>
      <c r="C90" t="s">
        <v>108</v>
      </c>
      <c r="D90" s="163">
        <f>+'YTD Nov 01 PL'!D204</f>
        <v>90112</v>
      </c>
      <c r="E90" s="52">
        <f t="shared" si="64"/>
        <v>8192</v>
      </c>
      <c r="F90" s="52">
        <f>+Capex!E31</f>
        <v>8192</v>
      </c>
      <c r="G90" s="190">
        <f>+F90</f>
        <v>8192</v>
      </c>
      <c r="H90" s="190">
        <f t="shared" si="65"/>
        <v>8192</v>
      </c>
      <c r="I90" s="190">
        <f t="shared" ref="I90:Q90" si="67">H90</f>
        <v>8192</v>
      </c>
      <c r="J90" s="190">
        <f t="shared" si="67"/>
        <v>8192</v>
      </c>
      <c r="K90" s="190">
        <f t="shared" si="67"/>
        <v>8192</v>
      </c>
      <c r="L90" s="190">
        <f t="shared" si="67"/>
        <v>8192</v>
      </c>
      <c r="M90" s="190">
        <f t="shared" si="67"/>
        <v>8192</v>
      </c>
      <c r="N90" s="190">
        <f t="shared" si="67"/>
        <v>8192</v>
      </c>
      <c r="O90" s="190">
        <f t="shared" si="67"/>
        <v>8192</v>
      </c>
      <c r="P90" s="190">
        <f t="shared" si="67"/>
        <v>8192</v>
      </c>
      <c r="Q90" s="190">
        <f t="shared" si="67"/>
        <v>8192</v>
      </c>
      <c r="R90" s="43">
        <f t="shared" si="61"/>
        <v>98304</v>
      </c>
      <c r="S90" s="78">
        <f t="shared" si="62"/>
        <v>0.33651453372951173</v>
      </c>
      <c r="T90" s="78">
        <f t="shared" si="63"/>
        <v>3.2075377521919045E-2</v>
      </c>
      <c r="U90" s="78">
        <f>R90/SALES!$AM$55</f>
        <v>2.1027593582887701E-2</v>
      </c>
    </row>
    <row r="91" spans="2:22">
      <c r="B91" s="73"/>
      <c r="C91" t="s">
        <v>109</v>
      </c>
      <c r="D91" s="163">
        <f>'YTD Nov 01 PL'!D217</f>
        <v>0</v>
      </c>
      <c r="E91" s="52">
        <f t="shared" si="64"/>
        <v>0</v>
      </c>
      <c r="F91" s="52">
        <f>+Capex!E41</f>
        <v>0</v>
      </c>
      <c r="G91" s="52">
        <f>+F91</f>
        <v>0</v>
      </c>
      <c r="H91" s="52">
        <f t="shared" si="65"/>
        <v>0</v>
      </c>
      <c r="I91" s="52">
        <f t="shared" ref="I91:Q91" si="68">H91</f>
        <v>0</v>
      </c>
      <c r="J91" s="52">
        <f t="shared" si="68"/>
        <v>0</v>
      </c>
      <c r="K91" s="52">
        <f t="shared" si="68"/>
        <v>0</v>
      </c>
      <c r="L91" s="52">
        <f t="shared" si="68"/>
        <v>0</v>
      </c>
      <c r="M91" s="52">
        <f t="shared" si="68"/>
        <v>0</v>
      </c>
      <c r="N91" s="52">
        <f t="shared" si="68"/>
        <v>0</v>
      </c>
      <c r="O91" s="52">
        <f t="shared" si="68"/>
        <v>0</v>
      </c>
      <c r="P91" s="52">
        <f t="shared" si="68"/>
        <v>0</v>
      </c>
      <c r="Q91" s="52">
        <f t="shared" si="68"/>
        <v>0</v>
      </c>
      <c r="R91" s="43">
        <f t="shared" si="61"/>
        <v>0</v>
      </c>
      <c r="S91" s="78">
        <f t="shared" si="62"/>
        <v>0</v>
      </c>
      <c r="T91" s="78">
        <f t="shared" si="63"/>
        <v>0</v>
      </c>
      <c r="U91" s="78">
        <f>R91/SALES!$AM$55</f>
        <v>0</v>
      </c>
    </row>
    <row r="92" spans="2:22">
      <c r="B92" s="73"/>
      <c r="C92" t="s">
        <v>110</v>
      </c>
      <c r="D92" s="163">
        <f>+'YTD Nov 01 PL'!D207</f>
        <v>113443</v>
      </c>
      <c r="E92" s="52">
        <f t="shared" si="64"/>
        <v>10313</v>
      </c>
      <c r="F92" s="52">
        <f>+Capex!E34</f>
        <v>10312.829166666668</v>
      </c>
      <c r="G92" s="190">
        <f>+F92+Capex!E11</f>
        <v>10416.995833333334</v>
      </c>
      <c r="H92" s="190">
        <f t="shared" si="65"/>
        <v>10416.995833333334</v>
      </c>
      <c r="I92" s="190">
        <f t="shared" ref="I92:Q92" si="69">H92</f>
        <v>10416.995833333334</v>
      </c>
      <c r="J92" s="190">
        <f t="shared" si="69"/>
        <v>10416.995833333334</v>
      </c>
      <c r="K92" s="190">
        <f t="shared" si="69"/>
        <v>10416.995833333334</v>
      </c>
      <c r="L92" s="190">
        <f t="shared" si="69"/>
        <v>10416.995833333334</v>
      </c>
      <c r="M92" s="190">
        <f t="shared" si="69"/>
        <v>10416.995833333334</v>
      </c>
      <c r="N92" s="190">
        <f t="shared" si="69"/>
        <v>10416.995833333334</v>
      </c>
      <c r="O92" s="190">
        <f t="shared" si="69"/>
        <v>10416.995833333334</v>
      </c>
      <c r="P92" s="190">
        <f t="shared" si="69"/>
        <v>10416.995833333334</v>
      </c>
      <c r="Q92" s="190">
        <f t="shared" si="69"/>
        <v>10416.995833333334</v>
      </c>
      <c r="R92" s="43">
        <f t="shared" si="61"/>
        <v>124899.78333333334</v>
      </c>
      <c r="S92" s="78">
        <f t="shared" si="62"/>
        <v>0.42755729524061797</v>
      </c>
      <c r="T92" s="78">
        <f t="shared" si="63"/>
        <v>4.0753252185288073E-2</v>
      </c>
      <c r="U92" s="78">
        <f>R92/SALES!$AM$55</f>
        <v>2.6716531194295901E-2</v>
      </c>
    </row>
    <row r="93" spans="2:22">
      <c r="B93" s="73"/>
      <c r="C93" t="s">
        <v>111</v>
      </c>
      <c r="E93" s="52">
        <f t="shared" si="64"/>
        <v>0</v>
      </c>
      <c r="F93" s="52">
        <f>E93</f>
        <v>0</v>
      </c>
      <c r="G93" s="52">
        <f>+F93</f>
        <v>0</v>
      </c>
      <c r="H93" s="52">
        <f t="shared" si="65"/>
        <v>0</v>
      </c>
      <c r="I93" s="52">
        <f t="shared" ref="I93:Q93" si="70">H93</f>
        <v>0</v>
      </c>
      <c r="J93" s="52">
        <f t="shared" si="70"/>
        <v>0</v>
      </c>
      <c r="K93" s="52">
        <f t="shared" si="70"/>
        <v>0</v>
      </c>
      <c r="L93" s="52">
        <f t="shared" si="70"/>
        <v>0</v>
      </c>
      <c r="M93" s="52">
        <f t="shared" si="70"/>
        <v>0</v>
      </c>
      <c r="N93" s="52">
        <f t="shared" si="70"/>
        <v>0</v>
      </c>
      <c r="O93" s="52">
        <f t="shared" si="70"/>
        <v>0</v>
      </c>
      <c r="P93" s="52">
        <f t="shared" si="70"/>
        <v>0</v>
      </c>
      <c r="Q93" s="52">
        <f t="shared" si="70"/>
        <v>0</v>
      </c>
      <c r="R93" s="43">
        <f t="shared" si="61"/>
        <v>0</v>
      </c>
      <c r="S93" s="78">
        <f t="shared" si="62"/>
        <v>0</v>
      </c>
      <c r="T93" s="78">
        <f t="shared" si="63"/>
        <v>0</v>
      </c>
      <c r="U93" s="78">
        <f>R93/SALES!$AM$55</f>
        <v>0</v>
      </c>
    </row>
    <row r="94" spans="2:22">
      <c r="B94" s="73"/>
      <c r="C94" t="s">
        <v>112</v>
      </c>
      <c r="D94" s="163">
        <f>+'YTD Nov 01 PL'!D208</f>
        <v>2750</v>
      </c>
      <c r="E94" s="52">
        <f t="shared" si="64"/>
        <v>250</v>
      </c>
      <c r="F94" s="52">
        <f>+Capex!E39</f>
        <v>0</v>
      </c>
      <c r="G94" s="52">
        <f>+F94</f>
        <v>0</v>
      </c>
      <c r="H94" s="52">
        <f t="shared" si="65"/>
        <v>0</v>
      </c>
      <c r="I94" s="52">
        <f t="shared" ref="I94:Q94" si="71">H94</f>
        <v>0</v>
      </c>
      <c r="J94" s="52">
        <f t="shared" si="71"/>
        <v>0</v>
      </c>
      <c r="K94" s="52">
        <v>0</v>
      </c>
      <c r="L94" s="52">
        <v>0</v>
      </c>
      <c r="M94" s="52">
        <f t="shared" si="71"/>
        <v>0</v>
      </c>
      <c r="N94" s="52">
        <f t="shared" si="71"/>
        <v>0</v>
      </c>
      <c r="O94" s="52">
        <f t="shared" si="71"/>
        <v>0</v>
      </c>
      <c r="P94" s="52">
        <f t="shared" si="71"/>
        <v>0</v>
      </c>
      <c r="Q94" s="52">
        <f t="shared" si="71"/>
        <v>0</v>
      </c>
      <c r="R94" s="43">
        <f t="shared" si="61"/>
        <v>0</v>
      </c>
      <c r="S94" s="78">
        <f t="shared" si="62"/>
        <v>0</v>
      </c>
      <c r="T94" s="78">
        <f t="shared" si="63"/>
        <v>0</v>
      </c>
      <c r="U94" s="78">
        <f>R94/SALES!$AM$55</f>
        <v>0</v>
      </c>
    </row>
    <row r="95" spans="2:22">
      <c r="B95" s="73"/>
      <c r="C95" t="s">
        <v>113</v>
      </c>
      <c r="D95" s="163">
        <f>+'YTD Nov 01 PL'!D209</f>
        <v>924</v>
      </c>
      <c r="E95" s="52">
        <f t="shared" si="64"/>
        <v>84</v>
      </c>
      <c r="F95" s="52">
        <f>+Capex!E40</f>
        <v>0</v>
      </c>
      <c r="G95" s="52">
        <f>+F95</f>
        <v>0</v>
      </c>
      <c r="H95" s="52">
        <f t="shared" si="65"/>
        <v>0</v>
      </c>
      <c r="I95" s="52">
        <f t="shared" ref="I95:Q95" si="72">H95</f>
        <v>0</v>
      </c>
      <c r="J95" s="52">
        <f t="shared" si="72"/>
        <v>0</v>
      </c>
      <c r="K95" s="52">
        <v>0</v>
      </c>
      <c r="L95" s="52">
        <f t="shared" si="72"/>
        <v>0</v>
      </c>
      <c r="M95" s="52">
        <f t="shared" si="72"/>
        <v>0</v>
      </c>
      <c r="N95" s="52">
        <f t="shared" si="72"/>
        <v>0</v>
      </c>
      <c r="O95" s="52">
        <f t="shared" si="72"/>
        <v>0</v>
      </c>
      <c r="P95" s="52">
        <f t="shared" si="72"/>
        <v>0</v>
      </c>
      <c r="Q95" s="52">
        <f t="shared" si="72"/>
        <v>0</v>
      </c>
      <c r="R95" s="43">
        <f t="shared" si="61"/>
        <v>0</v>
      </c>
      <c r="S95" s="78">
        <f t="shared" si="62"/>
        <v>0</v>
      </c>
      <c r="T95" s="78">
        <f t="shared" si="63"/>
        <v>0</v>
      </c>
      <c r="U95" s="78">
        <f>R95/SALES!$AM$55</f>
        <v>0</v>
      </c>
    </row>
    <row r="96" spans="2:22">
      <c r="B96" s="73"/>
      <c r="C96" t="s">
        <v>114</v>
      </c>
      <c r="D96" s="163">
        <f>+'YTD Nov 01 PL'!D210</f>
        <v>4488</v>
      </c>
      <c r="E96" s="52">
        <f t="shared" si="64"/>
        <v>408</v>
      </c>
      <c r="F96" s="52">
        <f>+Capex!E43</f>
        <v>408.48750000000001</v>
      </c>
      <c r="G96" s="190">
        <f>+F96</f>
        <v>408.48750000000001</v>
      </c>
      <c r="H96" s="190">
        <f t="shared" si="65"/>
        <v>408.48750000000001</v>
      </c>
      <c r="I96" s="190">
        <f t="shared" ref="I96:Q96" si="73">H96</f>
        <v>408.48750000000001</v>
      </c>
      <c r="J96" s="190">
        <f t="shared" si="73"/>
        <v>408.48750000000001</v>
      </c>
      <c r="K96" s="190">
        <f t="shared" si="73"/>
        <v>408.48750000000001</v>
      </c>
      <c r="L96" s="190">
        <f t="shared" si="73"/>
        <v>408.48750000000001</v>
      </c>
      <c r="M96" s="190">
        <f t="shared" si="73"/>
        <v>408.48750000000001</v>
      </c>
      <c r="N96" s="190">
        <f t="shared" si="73"/>
        <v>408.48750000000001</v>
      </c>
      <c r="O96" s="190">
        <f t="shared" si="73"/>
        <v>408.48750000000001</v>
      </c>
      <c r="P96" s="190">
        <f t="shared" si="73"/>
        <v>408.48750000000001</v>
      </c>
      <c r="Q96" s="190">
        <f t="shared" si="73"/>
        <v>408.48750000000001</v>
      </c>
      <c r="R96" s="43">
        <f t="shared" si="61"/>
        <v>4901.8500000000013</v>
      </c>
      <c r="S96" s="78">
        <f t="shared" si="62"/>
        <v>1.6780026928324459E-2</v>
      </c>
      <c r="T96" s="78">
        <f t="shared" si="63"/>
        <v>1.5994129364605601E-3</v>
      </c>
      <c r="U96" s="78">
        <f>R96/SALES!$AM$55</f>
        <v>1.0485240641711232E-3</v>
      </c>
    </row>
    <row r="97" spans="1:23">
      <c r="B97" s="73"/>
      <c r="C97" t="s">
        <v>115</v>
      </c>
      <c r="D97" s="163">
        <f>+'YTD Nov 01 PL'!D211</f>
        <v>35101</v>
      </c>
      <c r="E97" s="52">
        <f t="shared" si="64"/>
        <v>3191</v>
      </c>
      <c r="F97" s="52">
        <f>+Capex!E33</f>
        <v>3190.9</v>
      </c>
      <c r="G97" s="190">
        <f>+F97</f>
        <v>3190.9</v>
      </c>
      <c r="H97" s="190">
        <f t="shared" si="65"/>
        <v>3190.9</v>
      </c>
      <c r="I97" s="190">
        <f t="shared" ref="I97:Q97" si="74">H97</f>
        <v>3190.9</v>
      </c>
      <c r="J97" s="190">
        <f t="shared" si="74"/>
        <v>3190.9</v>
      </c>
      <c r="K97" s="190">
        <f t="shared" si="74"/>
        <v>3190.9</v>
      </c>
      <c r="L97" s="190">
        <f t="shared" si="74"/>
        <v>3190.9</v>
      </c>
      <c r="M97" s="190">
        <f t="shared" si="74"/>
        <v>3190.9</v>
      </c>
      <c r="N97" s="190">
        <f t="shared" si="74"/>
        <v>3190.9</v>
      </c>
      <c r="O97" s="190">
        <f t="shared" si="74"/>
        <v>3190.9</v>
      </c>
      <c r="P97" s="190">
        <f t="shared" si="74"/>
        <v>3190.9</v>
      </c>
      <c r="Q97" s="190">
        <f t="shared" si="74"/>
        <v>3190.9</v>
      </c>
      <c r="R97" s="43">
        <f t="shared" si="61"/>
        <v>38290.80000000001</v>
      </c>
      <c r="S97" s="78">
        <f t="shared" si="62"/>
        <v>0.13107717598602286</v>
      </c>
      <c r="T97" s="78">
        <f t="shared" si="63"/>
        <v>1.2493813737144959E-2</v>
      </c>
      <c r="U97" s="78">
        <f>R97/SALES!$AM$55</f>
        <v>8.1905454545454573E-3</v>
      </c>
    </row>
    <row r="98" spans="1:23">
      <c r="B98" s="73"/>
      <c r="C98" t="s">
        <v>116</v>
      </c>
      <c r="D98" s="163">
        <f>+'YTD Nov 01 PL'!D214</f>
        <v>634.38</v>
      </c>
      <c r="E98" s="52">
        <f t="shared" si="64"/>
        <v>57.670909090909092</v>
      </c>
      <c r="F98" s="52">
        <f>E98</f>
        <v>57.670909090909092</v>
      </c>
      <c r="G98" s="52">
        <f>F98</f>
        <v>57.670909090909092</v>
      </c>
      <c r="H98" s="52">
        <f t="shared" si="65"/>
        <v>57.670909090909092</v>
      </c>
      <c r="I98" s="52">
        <f t="shared" ref="I98:Q98" si="75">H98</f>
        <v>57.670909090909092</v>
      </c>
      <c r="J98" s="52">
        <f t="shared" si="75"/>
        <v>57.670909090909092</v>
      </c>
      <c r="K98" s="52">
        <f t="shared" si="75"/>
        <v>57.670909090909092</v>
      </c>
      <c r="L98" s="52">
        <f t="shared" si="75"/>
        <v>57.670909090909092</v>
      </c>
      <c r="M98" s="52">
        <f t="shared" si="75"/>
        <v>57.670909090909092</v>
      </c>
      <c r="N98" s="52">
        <f t="shared" si="75"/>
        <v>57.670909090909092</v>
      </c>
      <c r="O98" s="52">
        <f t="shared" si="75"/>
        <v>57.670909090909092</v>
      </c>
      <c r="P98" s="52">
        <f t="shared" si="75"/>
        <v>57.670909090909092</v>
      </c>
      <c r="Q98" s="52">
        <f t="shared" si="75"/>
        <v>57.670909090909092</v>
      </c>
      <c r="R98" s="43">
        <f t="shared" si="61"/>
        <v>692.05090909090904</v>
      </c>
      <c r="S98" s="78">
        <f t="shared" si="62"/>
        <v>2.3690306497173258E-3</v>
      </c>
      <c r="T98" s="78">
        <f t="shared" si="63"/>
        <v>2.2580763929726342E-4</v>
      </c>
      <c r="U98" s="78">
        <f>R98/SALES!$AM$55</f>
        <v>1.4803228001944579E-4</v>
      </c>
    </row>
    <row r="99" spans="1:23">
      <c r="B99" s="73"/>
      <c r="C99" t="s">
        <v>117</v>
      </c>
      <c r="E99" s="52">
        <f t="shared" si="64"/>
        <v>0</v>
      </c>
      <c r="F99" s="52">
        <f>+Capex!E44</f>
        <v>0</v>
      </c>
      <c r="G99" s="52">
        <f>F99</f>
        <v>0</v>
      </c>
      <c r="H99" s="52">
        <f t="shared" si="65"/>
        <v>0</v>
      </c>
      <c r="I99" s="52">
        <f t="shared" ref="I99:Q99" si="76">H99</f>
        <v>0</v>
      </c>
      <c r="J99" s="52">
        <f t="shared" si="76"/>
        <v>0</v>
      </c>
      <c r="K99" s="52">
        <f t="shared" si="76"/>
        <v>0</v>
      </c>
      <c r="L99" s="52">
        <f t="shared" si="76"/>
        <v>0</v>
      </c>
      <c r="M99" s="52">
        <f t="shared" si="76"/>
        <v>0</v>
      </c>
      <c r="N99" s="52">
        <f t="shared" si="76"/>
        <v>0</v>
      </c>
      <c r="O99" s="52">
        <f t="shared" si="76"/>
        <v>0</v>
      </c>
      <c r="P99" s="52">
        <f t="shared" si="76"/>
        <v>0</v>
      </c>
      <c r="Q99" s="52">
        <f t="shared" si="76"/>
        <v>0</v>
      </c>
      <c r="R99" s="43">
        <f t="shared" si="61"/>
        <v>0</v>
      </c>
      <c r="S99" s="78">
        <f t="shared" si="62"/>
        <v>0</v>
      </c>
      <c r="T99" s="78">
        <f t="shared" si="63"/>
        <v>0</v>
      </c>
      <c r="U99" s="78">
        <f>R99/SALES!$AM$55</f>
        <v>0</v>
      </c>
    </row>
    <row r="100" spans="1:23">
      <c r="B100" s="73"/>
      <c r="C100" t="s">
        <v>118</v>
      </c>
      <c r="E100" s="52">
        <f>D100/12</f>
        <v>0</v>
      </c>
      <c r="F100" s="52"/>
      <c r="G100" s="52"/>
      <c r="H100" s="52"/>
      <c r="I100" s="52"/>
      <c r="J100" s="52"/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43">
        <f t="shared" si="61"/>
        <v>0</v>
      </c>
      <c r="S100" s="78">
        <f t="shared" si="62"/>
        <v>0</v>
      </c>
      <c r="T100" s="78">
        <f t="shared" si="63"/>
        <v>0</v>
      </c>
      <c r="U100" s="78">
        <f>R100/SALES!$AM$55</f>
        <v>0</v>
      </c>
    </row>
    <row r="101" spans="1:23">
      <c r="B101" s="73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43"/>
      <c r="S101" s="78"/>
      <c r="T101" s="78"/>
      <c r="U101" s="78"/>
    </row>
    <row r="102" spans="1:23">
      <c r="B102" s="73"/>
      <c r="C102" s="82" t="s">
        <v>119</v>
      </c>
      <c r="D102" s="173">
        <f>SUM(D88:D101)</f>
        <v>270398.38</v>
      </c>
      <c r="E102" s="51">
        <f>SUM(E88:E101)</f>
        <v>24581.67090909091</v>
      </c>
      <c r="F102" s="51">
        <f>SUM(F88:F101)</f>
        <v>24248.187575757576</v>
      </c>
      <c r="G102" s="51">
        <f t="shared" ref="G102:R102" si="77">SUM(G88:G101)</f>
        <v>24352.354242424244</v>
      </c>
      <c r="H102" s="51">
        <f t="shared" si="77"/>
        <v>24352.354242424244</v>
      </c>
      <c r="I102" s="51">
        <f t="shared" si="77"/>
        <v>24352.354242424244</v>
      </c>
      <c r="J102" s="51">
        <f t="shared" si="77"/>
        <v>24352.354242424244</v>
      </c>
      <c r="K102" s="51">
        <f t="shared" si="77"/>
        <v>24352.354242424244</v>
      </c>
      <c r="L102" s="51">
        <f t="shared" si="77"/>
        <v>24352.354242424244</v>
      </c>
      <c r="M102" s="51">
        <f t="shared" si="77"/>
        <v>24352.354242424244</v>
      </c>
      <c r="N102" s="51">
        <f t="shared" si="77"/>
        <v>24352.354242424244</v>
      </c>
      <c r="O102" s="51">
        <f t="shared" si="77"/>
        <v>24352.354242424244</v>
      </c>
      <c r="P102" s="51">
        <f t="shared" si="77"/>
        <v>24352.354242424244</v>
      </c>
      <c r="Q102" s="51">
        <f t="shared" si="77"/>
        <v>24352.354242424244</v>
      </c>
      <c r="R102" s="51">
        <f t="shared" si="77"/>
        <v>292124.08424242423</v>
      </c>
      <c r="S102" s="83">
        <f t="shared" si="62"/>
        <v>1</v>
      </c>
      <c r="T102" s="83">
        <f t="shared" si="63"/>
        <v>9.5316470187587876E-2</v>
      </c>
      <c r="U102" s="83">
        <f>R102/SALES!$AM$55</f>
        <v>6.2486435132069355E-2</v>
      </c>
      <c r="V102" s="45">
        <f>SUM(F102:Q102)</f>
        <v>292124.08424242429</v>
      </c>
    </row>
    <row r="103" spans="1:23">
      <c r="B103" s="73"/>
      <c r="E103" s="52"/>
      <c r="R103" s="41"/>
      <c r="S103" s="78"/>
      <c r="T103" s="78"/>
      <c r="U103" s="78"/>
    </row>
    <row r="104" spans="1:23">
      <c r="B104" s="73"/>
      <c r="C104" s="50" t="s">
        <v>120</v>
      </c>
      <c r="D104" s="178"/>
      <c r="E104" s="97"/>
      <c r="R104" s="41"/>
      <c r="S104" s="78"/>
      <c r="T104" s="78"/>
      <c r="U104" s="78"/>
    </row>
    <row r="105" spans="1:23">
      <c r="A105" t="s">
        <v>50</v>
      </c>
      <c r="B105" s="73"/>
      <c r="C105" t="s">
        <v>121</v>
      </c>
      <c r="D105" s="163">
        <f>+'YTD Nov 01 PL'!D218</f>
        <v>16830</v>
      </c>
      <c r="E105" s="52">
        <f>D105/12</f>
        <v>1402.5</v>
      </c>
      <c r="F105" s="52">
        <v>1403</v>
      </c>
      <c r="G105" s="52">
        <f>+F105</f>
        <v>1403</v>
      </c>
      <c r="H105" s="52">
        <f t="shared" ref="H105:Q105" si="78">+G105</f>
        <v>1403</v>
      </c>
      <c r="I105" s="52">
        <f t="shared" si="78"/>
        <v>1403</v>
      </c>
      <c r="J105" s="52">
        <f t="shared" si="78"/>
        <v>1403</v>
      </c>
      <c r="K105" s="52">
        <f t="shared" si="78"/>
        <v>1403</v>
      </c>
      <c r="L105" s="52">
        <f t="shared" si="78"/>
        <v>1403</v>
      </c>
      <c r="M105" s="52">
        <f t="shared" si="78"/>
        <v>1403</v>
      </c>
      <c r="N105" s="52">
        <f t="shared" si="78"/>
        <v>1403</v>
      </c>
      <c r="O105" s="52">
        <f t="shared" si="78"/>
        <v>1403</v>
      </c>
      <c r="P105" s="52">
        <f t="shared" si="78"/>
        <v>1403</v>
      </c>
      <c r="Q105" s="52">
        <f t="shared" si="78"/>
        <v>1403</v>
      </c>
      <c r="R105" s="43">
        <f>SUM(F105:Q105)</f>
        <v>16836</v>
      </c>
      <c r="S105" s="78">
        <f>R105/$R$108</f>
        <v>1</v>
      </c>
      <c r="T105" s="78">
        <f>R105/$R$113</f>
        <v>5.4933782547915543E-3</v>
      </c>
      <c r="U105" s="78">
        <f>R105/SALES!$AM$55</f>
        <v>3.6012834224598929E-3</v>
      </c>
      <c r="V105" s="45"/>
    </row>
    <row r="106" spans="1:23">
      <c r="A106" t="s">
        <v>50</v>
      </c>
      <c r="B106" s="73"/>
      <c r="C106" t="s">
        <v>198</v>
      </c>
      <c r="E106" s="52">
        <f>+D106/12</f>
        <v>0</v>
      </c>
      <c r="F106" s="190">
        <v>0</v>
      </c>
      <c r="G106" s="190">
        <f>+F106</f>
        <v>0</v>
      </c>
      <c r="H106" s="190">
        <f>+G106</f>
        <v>0</v>
      </c>
      <c r="I106" s="190">
        <f>+H106</f>
        <v>0</v>
      </c>
      <c r="J106" s="190">
        <f>+I106</f>
        <v>0</v>
      </c>
      <c r="K106" s="190">
        <f>+J106</f>
        <v>0</v>
      </c>
      <c r="L106" s="190">
        <v>0</v>
      </c>
      <c r="M106" s="190">
        <v>0</v>
      </c>
      <c r="N106" s="190">
        <v>0</v>
      </c>
      <c r="O106" s="190">
        <v>0</v>
      </c>
      <c r="P106" s="190">
        <v>0</v>
      </c>
      <c r="Q106" s="190">
        <v>0</v>
      </c>
      <c r="R106" s="43">
        <f>SUM(F106:Q106)</f>
        <v>0</v>
      </c>
      <c r="S106" s="78">
        <f>R106/$R$108</f>
        <v>0</v>
      </c>
      <c r="T106" s="78">
        <f>R106/$R$113</f>
        <v>0</v>
      </c>
      <c r="U106" s="78">
        <f>R106/SALES!$AM$55</f>
        <v>0</v>
      </c>
      <c r="V106" s="45"/>
    </row>
    <row r="107" spans="1:23">
      <c r="B107" s="73"/>
      <c r="E107" s="52"/>
      <c r="R107" s="41"/>
      <c r="S107" s="78"/>
      <c r="T107" s="78"/>
      <c r="U107" s="78"/>
    </row>
    <row r="108" spans="1:23">
      <c r="B108" s="73"/>
      <c r="C108" s="99" t="s">
        <v>122</v>
      </c>
      <c r="D108" s="179"/>
      <c r="E108" s="100"/>
      <c r="F108" s="101">
        <f t="shared" ref="F108:R108" si="79">SUM(F105:F107)</f>
        <v>1403</v>
      </c>
      <c r="G108" s="102">
        <f t="shared" si="79"/>
        <v>1403</v>
      </c>
      <c r="H108" s="102">
        <f t="shared" si="79"/>
        <v>1403</v>
      </c>
      <c r="I108" s="102">
        <f t="shared" si="79"/>
        <v>1403</v>
      </c>
      <c r="J108" s="102">
        <f t="shared" si="79"/>
        <v>1403</v>
      </c>
      <c r="K108" s="102">
        <f t="shared" si="79"/>
        <v>1403</v>
      </c>
      <c r="L108" s="102">
        <f t="shared" si="79"/>
        <v>1403</v>
      </c>
      <c r="M108" s="102">
        <f t="shared" si="79"/>
        <v>1403</v>
      </c>
      <c r="N108" s="102">
        <f t="shared" si="79"/>
        <v>1403</v>
      </c>
      <c r="O108" s="102">
        <f t="shared" si="79"/>
        <v>1403</v>
      </c>
      <c r="P108" s="102">
        <f t="shared" si="79"/>
        <v>1403</v>
      </c>
      <c r="Q108" s="102">
        <f t="shared" si="79"/>
        <v>1403</v>
      </c>
      <c r="R108" s="103">
        <f t="shared" si="79"/>
        <v>16836</v>
      </c>
      <c r="S108" s="83">
        <f>R108/$R$108</f>
        <v>1</v>
      </c>
      <c r="T108" s="83">
        <f>R108/$R$113</f>
        <v>5.4933782547915543E-3</v>
      </c>
      <c r="U108" s="83">
        <f>R108/SALES!$AM$55</f>
        <v>3.6012834224598929E-3</v>
      </c>
      <c r="V108" s="45">
        <f>SUM(F108:Q108)</f>
        <v>16836</v>
      </c>
    </row>
    <row r="109" spans="1:23">
      <c r="B109" s="73"/>
      <c r="E109" s="52"/>
      <c r="F109" s="4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41"/>
      <c r="S109" s="78"/>
      <c r="T109" s="78"/>
      <c r="U109" s="78"/>
      <c r="V109" s="45"/>
    </row>
    <row r="110" spans="1:23">
      <c r="B110" s="73"/>
      <c r="C110" s="99" t="s">
        <v>123</v>
      </c>
      <c r="D110" s="179"/>
      <c r="E110" s="100"/>
      <c r="F110" s="101">
        <f t="shared" ref="F110:R110" si="80">SUM(F102+F108)</f>
        <v>25651.187575757576</v>
      </c>
      <c r="G110" s="101">
        <f t="shared" si="80"/>
        <v>25755.354242424244</v>
      </c>
      <c r="H110" s="101">
        <f t="shared" si="80"/>
        <v>25755.354242424244</v>
      </c>
      <c r="I110" s="101">
        <f t="shared" si="80"/>
        <v>25755.354242424244</v>
      </c>
      <c r="J110" s="101">
        <f t="shared" si="80"/>
        <v>25755.354242424244</v>
      </c>
      <c r="K110" s="101">
        <f t="shared" si="80"/>
        <v>25755.354242424244</v>
      </c>
      <c r="L110" s="101">
        <f t="shared" si="80"/>
        <v>25755.354242424244</v>
      </c>
      <c r="M110" s="101">
        <f t="shared" si="80"/>
        <v>25755.354242424244</v>
      </c>
      <c r="N110" s="101">
        <f t="shared" si="80"/>
        <v>25755.354242424244</v>
      </c>
      <c r="O110" s="101">
        <f t="shared" si="80"/>
        <v>25755.354242424244</v>
      </c>
      <c r="P110" s="101">
        <f t="shared" si="80"/>
        <v>25755.354242424244</v>
      </c>
      <c r="Q110" s="101">
        <f t="shared" si="80"/>
        <v>25755.354242424244</v>
      </c>
      <c r="R110" s="101">
        <f t="shared" si="80"/>
        <v>308960.08424242423</v>
      </c>
      <c r="S110" s="104" t="s">
        <v>124</v>
      </c>
      <c r="T110" s="83">
        <f>R110/$R$113</f>
        <v>0.10080984844237943</v>
      </c>
      <c r="U110" s="83">
        <f>R110/SALES!$AM$55</f>
        <v>6.6087718554529246E-2</v>
      </c>
      <c r="V110" s="45">
        <f>SUM(F110:Q110)</f>
        <v>308960.08424242429</v>
      </c>
      <c r="W110" s="45">
        <f>SUM(V79:V109)</f>
        <v>3064780.7631515157</v>
      </c>
    </row>
    <row r="111" spans="1:23">
      <c r="B111" s="73"/>
      <c r="E111" s="52"/>
      <c r="R111" s="41"/>
      <c r="S111" s="78"/>
      <c r="T111" s="78"/>
      <c r="U111" s="78"/>
      <c r="V111" s="45"/>
    </row>
    <row r="112" spans="1:23">
      <c r="B112" s="73"/>
      <c r="E112" s="52"/>
      <c r="R112" s="41"/>
      <c r="S112" s="78"/>
      <c r="T112" s="78"/>
      <c r="U112" s="78"/>
      <c r="V112" s="45"/>
    </row>
    <row r="113" spans="2:22">
      <c r="B113" s="73"/>
      <c r="C113" s="105" t="s">
        <v>125</v>
      </c>
      <c r="D113" s="180"/>
      <c r="E113" s="106"/>
      <c r="F113" s="107">
        <f t="shared" ref="F113:R113" si="81">SUM(F79+F110+F81)</f>
        <v>243145.8274848485</v>
      </c>
      <c r="G113" s="107">
        <f t="shared" si="81"/>
        <v>243319.99415151519</v>
      </c>
      <c r="H113" s="107">
        <f t="shared" si="81"/>
        <v>285299.99415151519</v>
      </c>
      <c r="I113" s="107">
        <f t="shared" si="81"/>
        <v>247299.99415151519</v>
      </c>
      <c r="J113" s="107">
        <f t="shared" si="81"/>
        <v>247549.99415151519</v>
      </c>
      <c r="K113" s="107">
        <f t="shared" si="81"/>
        <v>245549.99415151519</v>
      </c>
      <c r="L113" s="107">
        <f t="shared" si="81"/>
        <v>243549.99415151519</v>
      </c>
      <c r="M113" s="107">
        <f t="shared" si="81"/>
        <v>242549.99415151519</v>
      </c>
      <c r="N113" s="107">
        <f t="shared" si="81"/>
        <v>255353.74415151519</v>
      </c>
      <c r="O113" s="107">
        <f t="shared" si="81"/>
        <v>298353.74415151519</v>
      </c>
      <c r="P113" s="107">
        <f t="shared" si="81"/>
        <v>256353.74415151519</v>
      </c>
      <c r="Q113" s="107">
        <f t="shared" si="81"/>
        <v>256453.74415151519</v>
      </c>
      <c r="R113" s="107">
        <f t="shared" si="81"/>
        <v>3064780.7631515153</v>
      </c>
      <c r="S113" s="104" t="s">
        <v>124</v>
      </c>
      <c r="T113" s="83">
        <f>R113/$R$113</f>
        <v>1</v>
      </c>
      <c r="U113" s="83">
        <f>R113/SALES!$AM$55</f>
        <v>0.65556807767946845</v>
      </c>
      <c r="V113" s="45">
        <f>SUM(F113:Q113)</f>
        <v>3064780.7631515153</v>
      </c>
    </row>
    <row r="114" spans="2:22" ht="15" customHeight="1">
      <c r="B114" s="29"/>
    </row>
    <row r="115" spans="2:22">
      <c r="B115" s="29"/>
    </row>
    <row r="116" spans="2:22">
      <c r="B116" s="31"/>
      <c r="C116" s="63"/>
      <c r="D116" s="181"/>
      <c r="E116" s="108"/>
      <c r="F116" s="108"/>
    </row>
    <row r="117" spans="2:22">
      <c r="B117" s="31"/>
      <c r="C117" s="63"/>
      <c r="D117" s="181"/>
      <c r="E117" s="30"/>
    </row>
    <row r="118" spans="2:22">
      <c r="B118" s="31"/>
      <c r="C118" s="30" t="s">
        <v>201</v>
      </c>
      <c r="D118" s="181"/>
      <c r="E118" s="30"/>
    </row>
    <row r="119" spans="2:22">
      <c r="B119" s="31"/>
      <c r="C119" s="63"/>
      <c r="D119" s="181"/>
      <c r="E119" s="30"/>
    </row>
    <row r="120" spans="2:22">
      <c r="B120" s="31"/>
      <c r="C120" t="s">
        <v>846</v>
      </c>
    </row>
    <row r="121" spans="2:22">
      <c r="B121" s="31"/>
    </row>
    <row r="122" spans="2:22">
      <c r="B122" s="31"/>
      <c r="C122" s="32" t="s">
        <v>207</v>
      </c>
    </row>
    <row r="123" spans="2:22">
      <c r="B123" s="31">
        <v>1</v>
      </c>
      <c r="C123" t="s">
        <v>847</v>
      </c>
    </row>
    <row r="124" spans="2:22">
      <c r="B124" s="31">
        <v>2</v>
      </c>
      <c r="C124" t="s">
        <v>202</v>
      </c>
    </row>
    <row r="125" spans="2:22">
      <c r="B125" s="31">
        <v>3</v>
      </c>
      <c r="C125" t="s">
        <v>203</v>
      </c>
    </row>
    <row r="126" spans="2:22">
      <c r="B126" s="31">
        <v>4</v>
      </c>
      <c r="C126" t="s">
        <v>721</v>
      </c>
    </row>
    <row r="127" spans="2:22">
      <c r="B127" s="31">
        <v>5</v>
      </c>
      <c r="C127" t="s">
        <v>722</v>
      </c>
    </row>
    <row r="128" spans="2:22">
      <c r="B128" s="31">
        <v>6</v>
      </c>
      <c r="C128" t="s">
        <v>205</v>
      </c>
    </row>
    <row r="129" spans="1:5">
      <c r="B129" s="31">
        <v>7</v>
      </c>
      <c r="C129" t="s">
        <v>723</v>
      </c>
    </row>
    <row r="130" spans="1:5">
      <c r="B130" s="31">
        <v>8</v>
      </c>
      <c r="C130" s="63" t="s">
        <v>724</v>
      </c>
      <c r="D130" s="182"/>
    </row>
    <row r="131" spans="1:5">
      <c r="B131" s="31">
        <v>9</v>
      </c>
      <c r="C131" t="s">
        <v>206</v>
      </c>
    </row>
    <row r="132" spans="1:5">
      <c r="B132" s="31"/>
    </row>
    <row r="133" spans="1:5">
      <c r="B133" s="31"/>
      <c r="C133" s="32" t="s">
        <v>208</v>
      </c>
      <c r="D133" s="182"/>
      <c r="E133" s="30"/>
    </row>
    <row r="134" spans="1:5">
      <c r="B134" s="31">
        <v>10</v>
      </c>
      <c r="C134" t="s">
        <v>209</v>
      </c>
    </row>
    <row r="135" spans="1:5">
      <c r="B135" s="31">
        <v>11</v>
      </c>
      <c r="C135" t="s">
        <v>210</v>
      </c>
    </row>
    <row r="136" spans="1:5">
      <c r="B136" s="31">
        <v>12</v>
      </c>
      <c r="C136" s="63" t="s">
        <v>211</v>
      </c>
    </row>
    <row r="137" spans="1:5">
      <c r="B137" s="31">
        <v>13</v>
      </c>
      <c r="C137" t="s">
        <v>212</v>
      </c>
    </row>
    <row r="138" spans="1:5">
      <c r="B138" s="31">
        <v>14</v>
      </c>
      <c r="C138" s="63" t="s">
        <v>726</v>
      </c>
      <c r="D138" s="182"/>
      <c r="E138" s="30"/>
    </row>
    <row r="139" spans="1:5">
      <c r="A139">
        <v>16171816</v>
      </c>
      <c r="B139" s="31">
        <v>15</v>
      </c>
      <c r="C139" t="s">
        <v>848</v>
      </c>
    </row>
    <row r="140" spans="1:5">
      <c r="B140" s="31">
        <v>16</v>
      </c>
      <c r="C140" t="s">
        <v>213</v>
      </c>
    </row>
    <row r="141" spans="1:5">
      <c r="B141" s="31">
        <v>17</v>
      </c>
      <c r="C141" s="63" t="s">
        <v>214</v>
      </c>
    </row>
    <row r="142" spans="1:5">
      <c r="B142" s="31">
        <v>18</v>
      </c>
      <c r="C142" s="63" t="s">
        <v>215</v>
      </c>
      <c r="D142" s="182"/>
      <c r="E142" s="30"/>
    </row>
    <row r="143" spans="1:5">
      <c r="B143" s="31"/>
      <c r="C143" s="63"/>
      <c r="D143" s="181"/>
      <c r="E143" s="63"/>
    </row>
    <row r="144" spans="1:5">
      <c r="B144" s="31"/>
      <c r="C144" s="32" t="s">
        <v>216</v>
      </c>
    </row>
    <row r="145" spans="1:5">
      <c r="B145" s="31">
        <v>19</v>
      </c>
      <c r="C145" t="s">
        <v>226</v>
      </c>
    </row>
    <row r="146" spans="1:5">
      <c r="B146" s="31">
        <v>20</v>
      </c>
      <c r="C146" t="s">
        <v>227</v>
      </c>
    </row>
    <row r="147" spans="1:5">
      <c r="B147" s="31"/>
      <c r="C147" s="30"/>
      <c r="D147" s="182"/>
      <c r="E147" s="30"/>
    </row>
    <row r="148" spans="1:5">
      <c r="B148" s="31"/>
      <c r="C148" s="32" t="s">
        <v>217</v>
      </c>
    </row>
    <row r="149" spans="1:5">
      <c r="B149" s="31">
        <v>21</v>
      </c>
      <c r="C149" t="s">
        <v>218</v>
      </c>
    </row>
    <row r="150" spans="1:5">
      <c r="B150" s="31"/>
    </row>
    <row r="151" spans="1:5">
      <c r="B151" s="31"/>
      <c r="C151" s="32" t="s">
        <v>219</v>
      </c>
    </row>
    <row r="152" spans="1:5">
      <c r="B152" s="31">
        <v>22</v>
      </c>
      <c r="C152" t="s">
        <v>220</v>
      </c>
    </row>
    <row r="153" spans="1:5">
      <c r="B153" s="31"/>
    </row>
    <row r="154" spans="1:5">
      <c r="B154" s="31"/>
      <c r="C154" s="32" t="s">
        <v>94</v>
      </c>
    </row>
    <row r="155" spans="1:5">
      <c r="B155" s="31">
        <v>23</v>
      </c>
      <c r="C155" t="s">
        <v>221</v>
      </c>
    </row>
    <row r="156" spans="1:5">
      <c r="B156" s="31">
        <v>24</v>
      </c>
      <c r="C156" t="s">
        <v>725</v>
      </c>
    </row>
    <row r="157" spans="1:5">
      <c r="B157" s="31"/>
    </row>
    <row r="158" spans="1:5">
      <c r="B158" s="31"/>
      <c r="C158" s="32" t="s">
        <v>222</v>
      </c>
    </row>
    <row r="159" spans="1:5">
      <c r="A159">
        <v>25</v>
      </c>
      <c r="B159" s="31">
        <v>25</v>
      </c>
      <c r="C159" t="s">
        <v>223</v>
      </c>
    </row>
    <row r="160" spans="1:5">
      <c r="B160" s="31"/>
    </row>
    <row r="161" spans="2:5">
      <c r="B161" s="31"/>
      <c r="C161" s="32" t="s">
        <v>727</v>
      </c>
    </row>
    <row r="162" spans="2:5">
      <c r="B162" s="31">
        <v>26</v>
      </c>
      <c r="C162" t="s">
        <v>224</v>
      </c>
    </row>
    <row r="163" spans="2:5">
      <c r="B163" s="31"/>
    </row>
    <row r="164" spans="2:5">
      <c r="B164" s="31"/>
    </row>
    <row r="165" spans="2:5">
      <c r="B165" s="31"/>
    </row>
    <row r="166" spans="2:5">
      <c r="B166" s="31"/>
    </row>
    <row r="167" spans="2:5">
      <c r="B167" s="31"/>
      <c r="E167" s="419"/>
    </row>
    <row r="168" spans="2:5">
      <c r="B168" s="31"/>
      <c r="E168" s="419"/>
    </row>
    <row r="169" spans="2:5">
      <c r="B169" s="31"/>
      <c r="E169" s="419"/>
    </row>
    <row r="170" spans="2:5">
      <c r="B170" s="31"/>
      <c r="E170" s="419"/>
    </row>
    <row r="171" spans="2:5">
      <c r="B171" s="31"/>
      <c r="E171" s="419"/>
    </row>
    <row r="172" spans="2:5">
      <c r="B172" s="31"/>
      <c r="E172" s="419"/>
    </row>
    <row r="173" spans="2:5">
      <c r="B173" s="31"/>
    </row>
    <row r="174" spans="2:5">
      <c r="B174" s="31"/>
    </row>
    <row r="175" spans="2:5">
      <c r="B175" s="31"/>
    </row>
    <row r="176" spans="2:5">
      <c r="B176" s="31"/>
    </row>
    <row r="177" spans="2:2">
      <c r="B177" s="29"/>
    </row>
    <row r="178" spans="2:2">
      <c r="B178" s="29"/>
    </row>
    <row r="179" spans="2:2">
      <c r="B179" s="29"/>
    </row>
    <row r="180" spans="2:2">
      <c r="B180" s="29"/>
    </row>
    <row r="181" spans="2:2">
      <c r="B181" s="29"/>
    </row>
    <row r="182" spans="2:2">
      <c r="B182" s="29"/>
    </row>
    <row r="183" spans="2:2">
      <c r="B183" s="29"/>
    </row>
    <row r="184" spans="2:2">
      <c r="B184" s="29"/>
    </row>
    <row r="185" spans="2:2">
      <c r="B185" s="29"/>
    </row>
    <row r="186" spans="2:2">
      <c r="B186" s="29"/>
    </row>
    <row r="187" spans="2:2">
      <c r="B187" s="29"/>
    </row>
    <row r="188" spans="2:2">
      <c r="B188" s="29"/>
    </row>
    <row r="189" spans="2:2">
      <c r="B189" s="29"/>
    </row>
    <row r="190" spans="2:2">
      <c r="B190" s="29"/>
    </row>
    <row r="191" spans="2:2">
      <c r="B191" s="29"/>
    </row>
    <row r="192" spans="2:2">
      <c r="B192" s="29"/>
    </row>
    <row r="193" spans="2:2">
      <c r="B193" s="29"/>
    </row>
    <row r="194" spans="2:2">
      <c r="B194" s="29"/>
    </row>
    <row r="195" spans="2:2">
      <c r="B195" s="29"/>
    </row>
    <row r="196" spans="2:2">
      <c r="B196" s="29"/>
    </row>
    <row r="197" spans="2:2">
      <c r="B197" s="29"/>
    </row>
    <row r="198" spans="2:2">
      <c r="B198" s="29"/>
    </row>
    <row r="199" spans="2:2">
      <c r="B199" s="29"/>
    </row>
    <row r="200" spans="2:2">
      <c r="B200" s="29"/>
    </row>
    <row r="201" spans="2:2">
      <c r="B201" s="29"/>
    </row>
    <row r="202" spans="2:2">
      <c r="B202" s="29"/>
    </row>
    <row r="203" spans="2:2">
      <c r="B203" s="29"/>
    </row>
    <row r="204" spans="2:2">
      <c r="B204" s="29"/>
    </row>
    <row r="205" spans="2:2">
      <c r="B205" s="29"/>
    </row>
    <row r="206" spans="2:2">
      <c r="B206" s="29"/>
    </row>
    <row r="207" spans="2:2">
      <c r="B207" s="29"/>
    </row>
    <row r="208" spans="2:2">
      <c r="B208" s="29"/>
    </row>
    <row r="209" spans="2:2">
      <c r="B209" s="29"/>
    </row>
    <row r="210" spans="2:2">
      <c r="B210" s="29"/>
    </row>
    <row r="211" spans="2:2">
      <c r="B211" s="29"/>
    </row>
    <row r="212" spans="2:2">
      <c r="B212" s="29"/>
    </row>
    <row r="213" spans="2:2">
      <c r="B213" s="29"/>
    </row>
    <row r="214" spans="2:2">
      <c r="B214" s="29"/>
    </row>
    <row r="215" spans="2:2">
      <c r="B215" s="29"/>
    </row>
    <row r="216" spans="2:2">
      <c r="B216" s="29"/>
    </row>
    <row r="217" spans="2:2">
      <c r="B217" s="29"/>
    </row>
    <row r="218" spans="2:2">
      <c r="B218" s="29"/>
    </row>
    <row r="219" spans="2:2">
      <c r="B219" s="29"/>
    </row>
    <row r="220" spans="2:2">
      <c r="B220" s="29"/>
    </row>
    <row r="221" spans="2:2">
      <c r="B221" s="29"/>
    </row>
    <row r="222" spans="2:2">
      <c r="B222" s="29"/>
    </row>
    <row r="223" spans="2:2">
      <c r="B223" s="29"/>
    </row>
    <row r="224" spans="2:2">
      <c r="B224" s="29"/>
    </row>
    <row r="225" spans="2:2">
      <c r="B225" s="29"/>
    </row>
    <row r="226" spans="2:2">
      <c r="B226" s="29"/>
    </row>
    <row r="227" spans="2:2">
      <c r="B227" s="29"/>
    </row>
    <row r="228" spans="2:2">
      <c r="B228" s="29"/>
    </row>
    <row r="229" spans="2:2">
      <c r="B229" s="29"/>
    </row>
    <row r="230" spans="2:2">
      <c r="B230" s="29"/>
    </row>
    <row r="231" spans="2:2">
      <c r="B231" s="29"/>
    </row>
    <row r="232" spans="2:2">
      <c r="B232" s="29"/>
    </row>
    <row r="233" spans="2:2">
      <c r="B233" s="29"/>
    </row>
    <row r="234" spans="2:2">
      <c r="B234" s="29"/>
    </row>
    <row r="235" spans="2:2">
      <c r="B235" s="29"/>
    </row>
    <row r="236" spans="2:2">
      <c r="B236" s="29"/>
    </row>
    <row r="237" spans="2:2">
      <c r="B237" s="29"/>
    </row>
    <row r="238" spans="2:2">
      <c r="B238" s="29"/>
    </row>
    <row r="239" spans="2:2">
      <c r="B239" s="29"/>
    </row>
    <row r="240" spans="2:2">
      <c r="B240" s="29"/>
    </row>
    <row r="241" spans="2:2">
      <c r="B241" s="29"/>
    </row>
    <row r="242" spans="2:2">
      <c r="B242" s="29"/>
    </row>
    <row r="243" spans="2:2">
      <c r="B243" s="29"/>
    </row>
    <row r="244" spans="2:2">
      <c r="B244" s="29"/>
    </row>
    <row r="245" spans="2:2">
      <c r="B245" s="29"/>
    </row>
    <row r="246" spans="2:2">
      <c r="B246" s="29"/>
    </row>
    <row r="247" spans="2:2">
      <c r="B247" s="29"/>
    </row>
    <row r="248" spans="2:2">
      <c r="B248" s="29"/>
    </row>
    <row r="249" spans="2:2">
      <c r="B249" s="29"/>
    </row>
    <row r="250" spans="2:2">
      <c r="B250" s="29"/>
    </row>
    <row r="251" spans="2:2">
      <c r="B251" s="29"/>
    </row>
    <row r="252" spans="2:2">
      <c r="B252" s="29"/>
    </row>
    <row r="253" spans="2:2">
      <c r="B253" s="29"/>
    </row>
    <row r="254" spans="2:2">
      <c r="B254" s="29"/>
    </row>
    <row r="255" spans="2:2">
      <c r="B255" s="29"/>
    </row>
    <row r="256" spans="2:2">
      <c r="B256" s="29"/>
    </row>
    <row r="257" spans="2:2">
      <c r="B257" s="29"/>
    </row>
    <row r="258" spans="2:2">
      <c r="B258" s="29"/>
    </row>
    <row r="259" spans="2:2">
      <c r="B259" s="29"/>
    </row>
    <row r="260" spans="2:2">
      <c r="B260" s="29"/>
    </row>
    <row r="261" spans="2:2">
      <c r="B261" s="29"/>
    </row>
    <row r="262" spans="2:2">
      <c r="B262" s="29"/>
    </row>
    <row r="263" spans="2:2">
      <c r="B263" s="29"/>
    </row>
    <row r="264" spans="2:2">
      <c r="B264" s="29"/>
    </row>
  </sheetData>
  <phoneticPr fontId="0" type="noConversion"/>
  <printOptions horizontalCentered="1" verticalCentered="1" gridLines="1"/>
  <pageMargins left="0.36" right="0.24" top="1.44" bottom="0.61" header="0.77" footer="0.32"/>
  <pageSetup paperSize="9" scale="70" firstPageNumber="4" orientation="landscape" useFirstPageNumber="1" horizontalDpi="4294967292" verticalDpi="4294967292" r:id="rId1"/>
  <headerFooter alignWithMargins="0">
    <oddHeader>&amp;L&amp;D
&amp;T&amp;C&amp;"Arial,Bold"
EXECUTRAIN - DUBAI
Budget for the period Jan 03 to Dec.03
&amp;"Arial,Regular"
&amp;"Arial,Bold"Overheads&amp;R&amp;F</oddHeader>
    <oddFooter xml:space="preserve">&amp;CPage &amp;P </oddFooter>
  </headerFooter>
  <rowBreaks count="4" manualBreakCount="4">
    <brk id="47" max="20" man="1"/>
    <brk id="83" max="20" man="1"/>
    <brk id="114" max="20" man="1"/>
    <brk id="163" max="20" man="1"/>
  </rowBreaks>
  <colBreaks count="1" manualBreakCount="1">
    <brk id="18" max="162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0"/>
  <dimension ref="A1:T106"/>
  <sheetViews>
    <sheetView showZeros="0" topLeftCell="A36" workbookViewId="0">
      <selection activeCell="C33" sqref="C33"/>
    </sheetView>
  </sheetViews>
  <sheetFormatPr defaultRowHeight="12.75"/>
  <cols>
    <col min="1" max="1" width="50.85546875" customWidth="1"/>
    <col min="2" max="2" width="14.28515625" customWidth="1"/>
    <col min="3" max="3" width="21.85546875" customWidth="1"/>
    <col min="4" max="4" width="17.85546875" customWidth="1"/>
    <col min="5" max="5" width="12.42578125" customWidth="1"/>
    <col min="6" max="6" width="15.7109375" hidden="1" customWidth="1"/>
    <col min="7" max="7" width="11.42578125" customWidth="1"/>
    <col min="8" max="8" width="13.140625" customWidth="1"/>
    <col min="9" max="9" width="12.5703125" customWidth="1"/>
    <col min="10" max="10" width="11.85546875" customWidth="1"/>
    <col min="11" max="11" width="10.42578125" customWidth="1"/>
    <col min="12" max="16" width="0" hidden="1" customWidth="1"/>
    <col min="19" max="19" width="10.5703125" customWidth="1"/>
    <col min="20" max="20" width="11.140625" hidden="1" customWidth="1"/>
  </cols>
  <sheetData>
    <row r="1" spans="1:20" hidden="1">
      <c r="A1" s="326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8"/>
    </row>
    <row r="2" spans="1:20" hidden="1">
      <c r="A2" s="329"/>
      <c r="B2" s="94"/>
      <c r="C2" s="94"/>
      <c r="D2" s="94"/>
      <c r="E2" s="94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120"/>
    </row>
    <row r="3" spans="1:20" hidden="1">
      <c r="A3" s="330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331"/>
      <c r="T3" s="67" t="s">
        <v>5</v>
      </c>
    </row>
    <row r="4" spans="1:20" hidden="1">
      <c r="A4" s="330" t="s">
        <v>42</v>
      </c>
      <c r="B4" s="72" t="s">
        <v>190</v>
      </c>
      <c r="C4" s="72"/>
      <c r="D4" s="72" t="s">
        <v>191</v>
      </c>
      <c r="E4" s="72" t="s">
        <v>199</v>
      </c>
      <c r="F4" s="72" t="s">
        <v>200</v>
      </c>
      <c r="G4" s="332">
        <v>36892</v>
      </c>
      <c r="H4" s="332">
        <v>36923</v>
      </c>
      <c r="I4" s="332">
        <v>36951</v>
      </c>
      <c r="J4" s="332">
        <v>36982</v>
      </c>
      <c r="K4" s="332">
        <v>37012</v>
      </c>
      <c r="L4" s="332">
        <v>37043</v>
      </c>
      <c r="M4" s="332">
        <v>37073</v>
      </c>
      <c r="N4" s="332">
        <v>37104</v>
      </c>
      <c r="O4" s="332">
        <v>37135</v>
      </c>
      <c r="P4" s="332">
        <v>37165</v>
      </c>
      <c r="Q4" s="332">
        <v>37196</v>
      </c>
      <c r="R4" s="332">
        <v>37226</v>
      </c>
      <c r="S4" s="331" t="s">
        <v>5</v>
      </c>
      <c r="T4" s="67" t="s">
        <v>48</v>
      </c>
    </row>
    <row r="5" spans="1:20" hidden="1">
      <c r="A5" s="330"/>
      <c r="B5" s="72"/>
      <c r="C5" s="72"/>
      <c r="D5" s="72"/>
      <c r="E5" s="72"/>
      <c r="F5" s="72"/>
      <c r="G5" s="72"/>
      <c r="H5" s="72"/>
      <c r="I5" s="72"/>
      <c r="J5" s="72"/>
      <c r="K5" s="332"/>
      <c r="L5" s="332"/>
      <c r="M5" s="332"/>
      <c r="N5" s="332"/>
      <c r="O5" s="332"/>
      <c r="P5" s="332"/>
      <c r="Q5" s="332"/>
      <c r="R5" s="332"/>
      <c r="S5" s="331"/>
      <c r="T5" s="72"/>
    </row>
    <row r="6" spans="1:20" hidden="1">
      <c r="A6" s="330"/>
      <c r="B6" s="72"/>
      <c r="C6" s="72"/>
      <c r="D6" s="72"/>
      <c r="E6" s="72"/>
      <c r="F6" s="183"/>
      <c r="G6" s="72"/>
      <c r="H6" s="72"/>
      <c r="I6" s="72"/>
      <c r="J6" s="72"/>
      <c r="K6" s="332"/>
      <c r="L6" s="332"/>
      <c r="M6" s="332"/>
      <c r="N6" s="332"/>
      <c r="O6" s="332"/>
      <c r="P6" s="332"/>
      <c r="Q6" s="332"/>
      <c r="R6" s="332"/>
      <c r="S6" s="331"/>
      <c r="T6" s="72"/>
    </row>
    <row r="7" spans="1:20" hidden="1">
      <c r="A7" s="333"/>
      <c r="B7" s="334"/>
      <c r="C7" s="334"/>
      <c r="D7" s="334"/>
      <c r="E7" s="334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335"/>
      <c r="T7" s="183"/>
    </row>
    <row r="8" spans="1:20" hidden="1">
      <c r="A8" s="133"/>
      <c r="B8" s="81"/>
      <c r="C8" s="81"/>
      <c r="D8" s="81"/>
      <c r="E8" s="81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335">
        <f>SUM(K8:Q8)</f>
        <v>0</v>
      </c>
      <c r="T8" s="183"/>
    </row>
    <row r="9" spans="1:20" hidden="1">
      <c r="A9" s="336" t="s">
        <v>108</v>
      </c>
      <c r="B9" s="184" t="s">
        <v>197</v>
      </c>
      <c r="C9" s="184"/>
      <c r="D9" s="187">
        <f>(F9/31)*12</f>
        <v>0</v>
      </c>
      <c r="E9" s="191">
        <f t="shared" ref="E9:E16" si="0">D9/12</f>
        <v>0</v>
      </c>
      <c r="F9" s="183">
        <v>0</v>
      </c>
      <c r="G9" s="183">
        <v>0</v>
      </c>
      <c r="H9" s="183">
        <v>0</v>
      </c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335">
        <f t="shared" ref="S9:S16" si="1">SUM(G9:Q9)</f>
        <v>0</v>
      </c>
      <c r="T9" s="183"/>
    </row>
    <row r="10" spans="1:20" hidden="1">
      <c r="A10" s="118" t="s">
        <v>192</v>
      </c>
      <c r="B10" s="186">
        <v>0.2</v>
      </c>
      <c r="C10" s="186"/>
      <c r="D10" s="183">
        <f t="shared" ref="D10:D16" si="2">F10*B10</f>
        <v>0</v>
      </c>
      <c r="E10" s="191">
        <f t="shared" si="0"/>
        <v>0</v>
      </c>
      <c r="F10" s="183">
        <v>0</v>
      </c>
      <c r="G10" s="183"/>
      <c r="H10" s="183">
        <v>0</v>
      </c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335">
        <f t="shared" si="1"/>
        <v>0</v>
      </c>
      <c r="T10" s="183"/>
    </row>
    <row r="11" spans="1:20" hidden="1">
      <c r="A11" s="118" t="s">
        <v>110</v>
      </c>
      <c r="B11" s="186">
        <v>0.25</v>
      </c>
      <c r="C11" s="186"/>
      <c r="D11" s="188">
        <f t="shared" si="2"/>
        <v>1250</v>
      </c>
      <c r="E11" s="191">
        <f t="shared" si="0"/>
        <v>104.16666666666667</v>
      </c>
      <c r="F11" s="183">
        <v>5000</v>
      </c>
      <c r="G11" s="183">
        <v>0</v>
      </c>
      <c r="H11" s="183">
        <f>F11</f>
        <v>5000</v>
      </c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335">
        <f t="shared" si="1"/>
        <v>5000</v>
      </c>
      <c r="T11" s="183"/>
    </row>
    <row r="12" spans="1:20" hidden="1">
      <c r="A12" s="118" t="s">
        <v>193</v>
      </c>
      <c r="B12" s="186">
        <v>0.25</v>
      </c>
      <c r="C12" s="186"/>
      <c r="D12" s="188">
        <f t="shared" si="2"/>
        <v>0</v>
      </c>
      <c r="E12" s="191">
        <f t="shared" si="0"/>
        <v>0</v>
      </c>
      <c r="F12" s="183">
        <v>0</v>
      </c>
      <c r="G12" s="183">
        <v>0</v>
      </c>
      <c r="H12" s="183">
        <v>0</v>
      </c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335">
        <f t="shared" si="1"/>
        <v>0</v>
      </c>
      <c r="T12" s="183"/>
    </row>
    <row r="13" spans="1:20" hidden="1">
      <c r="A13" s="118" t="s">
        <v>194</v>
      </c>
      <c r="B13" s="186">
        <v>0.2</v>
      </c>
      <c r="C13" s="186"/>
      <c r="D13" s="188">
        <f t="shared" si="2"/>
        <v>600</v>
      </c>
      <c r="E13" s="191">
        <f t="shared" si="0"/>
        <v>50</v>
      </c>
      <c r="F13" s="183">
        <v>3000</v>
      </c>
      <c r="G13" s="183">
        <f>F13</f>
        <v>3000</v>
      </c>
      <c r="H13" s="183">
        <v>0</v>
      </c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335">
        <f t="shared" si="1"/>
        <v>3000</v>
      </c>
      <c r="T13" s="183"/>
    </row>
    <row r="14" spans="1:20" hidden="1">
      <c r="A14" s="118" t="s">
        <v>195</v>
      </c>
      <c r="B14" s="186"/>
      <c r="C14" s="186"/>
      <c r="D14" s="188">
        <f t="shared" si="2"/>
        <v>0</v>
      </c>
      <c r="E14" s="191">
        <f t="shared" si="0"/>
        <v>0</v>
      </c>
      <c r="F14" s="183"/>
      <c r="G14" s="183">
        <v>0</v>
      </c>
      <c r="H14" s="183">
        <v>0</v>
      </c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335">
        <f t="shared" si="1"/>
        <v>0</v>
      </c>
      <c r="T14" s="183"/>
    </row>
    <row r="15" spans="1:20" hidden="1">
      <c r="A15" s="118" t="s">
        <v>225</v>
      </c>
      <c r="B15" s="186">
        <v>0.2</v>
      </c>
      <c r="C15" s="186"/>
      <c r="D15" s="188">
        <f t="shared" si="2"/>
        <v>0</v>
      </c>
      <c r="E15" s="191">
        <f t="shared" si="0"/>
        <v>0</v>
      </c>
      <c r="F15" s="183"/>
      <c r="G15" s="183">
        <v>0</v>
      </c>
      <c r="H15" s="183">
        <v>0</v>
      </c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342">
        <f t="shared" si="1"/>
        <v>0</v>
      </c>
      <c r="T15" s="183"/>
    </row>
    <row r="16" spans="1:20" hidden="1">
      <c r="A16" s="118" t="s">
        <v>698</v>
      </c>
      <c r="B16" s="186">
        <v>0.2</v>
      </c>
      <c r="C16" s="186"/>
      <c r="D16" s="188">
        <f t="shared" si="2"/>
        <v>500</v>
      </c>
      <c r="E16" s="191">
        <f t="shared" si="0"/>
        <v>41.666666666666664</v>
      </c>
      <c r="F16" s="183">
        <v>2500</v>
      </c>
      <c r="G16" s="183">
        <v>0</v>
      </c>
      <c r="H16" s="183">
        <f>F16</f>
        <v>2500</v>
      </c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342">
        <f t="shared" si="1"/>
        <v>2500</v>
      </c>
      <c r="T16" s="183"/>
    </row>
    <row r="17" spans="1:20" ht="13.5" hidden="1" thickBot="1">
      <c r="A17" s="337" t="s">
        <v>196</v>
      </c>
      <c r="B17" s="338"/>
      <c r="C17" s="338"/>
      <c r="D17" s="339">
        <f>SUM(D9:D13)</f>
        <v>1850</v>
      </c>
      <c r="E17" s="340">
        <f>SUM(E9:E13)</f>
        <v>154.16666666666669</v>
      </c>
      <c r="F17" s="339">
        <f>SUM(F9:F16)</f>
        <v>10500</v>
      </c>
      <c r="G17" s="339">
        <f>SUM(G9:G16)</f>
        <v>3000</v>
      </c>
      <c r="H17" s="339">
        <f>SUM(H9:H16)</f>
        <v>7500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41">
        <f>SUM(S8:S16)</f>
        <v>10500</v>
      </c>
      <c r="T17" s="183">
        <f>SUM(G17:Q17)</f>
        <v>10500</v>
      </c>
    </row>
    <row r="18" spans="1:20" hidden="1">
      <c r="A18" s="81"/>
      <c r="B18" s="81"/>
      <c r="C18" s="81"/>
      <c r="D18" s="81"/>
      <c r="E18" s="81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</row>
    <row r="19" spans="1:20" hidden="1">
      <c r="A19" s="81"/>
      <c r="B19" s="81"/>
      <c r="C19" s="81"/>
      <c r="D19" s="81"/>
      <c r="E19" s="81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</row>
    <row r="20" spans="1:20" hidden="1">
      <c r="A20" s="469"/>
      <c r="B20" s="470"/>
      <c r="C20" s="470"/>
      <c r="D20" s="470"/>
      <c r="E20" s="470"/>
      <c r="F20" s="471"/>
      <c r="G20" s="471"/>
      <c r="H20" s="471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</row>
    <row r="21" spans="1:20" s="30" customFormat="1" ht="18">
      <c r="A21" s="556" t="s">
        <v>845</v>
      </c>
      <c r="B21" s="556"/>
      <c r="C21" s="556"/>
      <c r="D21" s="556"/>
      <c r="E21" s="556"/>
      <c r="G21" s="555"/>
      <c r="H21" s="555"/>
    </row>
    <row r="22" spans="1:20" ht="18.75" thickBot="1">
      <c r="A22" s="557"/>
      <c r="B22" s="557"/>
      <c r="C22" s="557"/>
      <c r="D22" s="557"/>
      <c r="E22" s="557"/>
      <c r="F22" s="541"/>
      <c r="G22" s="452"/>
      <c r="H22" s="452"/>
    </row>
    <row r="23" spans="1:20" ht="18">
      <c r="A23" s="558"/>
      <c r="B23" s="559"/>
      <c r="C23" s="559"/>
      <c r="D23" s="559"/>
      <c r="E23" s="559"/>
      <c r="F23" s="542"/>
      <c r="G23" s="467"/>
      <c r="H23" s="467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pans="1:20" ht="18">
      <c r="A24" s="560"/>
      <c r="B24" s="561"/>
      <c r="C24" s="561"/>
      <c r="D24" s="561"/>
      <c r="E24" s="561"/>
      <c r="F24" s="543"/>
      <c r="G24" s="467"/>
      <c r="H24" s="467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20" ht="18">
      <c r="A25" s="562"/>
      <c r="B25" s="563"/>
      <c r="C25" s="563"/>
      <c r="D25" s="563"/>
      <c r="E25" s="563"/>
      <c r="F25" s="331"/>
      <c r="G25" s="476"/>
      <c r="H25" s="476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67" t="s">
        <v>5</v>
      </c>
    </row>
    <row r="26" spans="1:20" ht="18">
      <c r="A26" s="562" t="s">
        <v>42</v>
      </c>
      <c r="B26" s="563" t="s">
        <v>190</v>
      </c>
      <c r="C26" s="563" t="s">
        <v>332</v>
      </c>
      <c r="D26" s="563" t="s">
        <v>191</v>
      </c>
      <c r="E26" s="563" t="s">
        <v>199</v>
      </c>
      <c r="F26" s="331" t="s">
        <v>568</v>
      </c>
      <c r="G26" s="478"/>
      <c r="H26" s="478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72"/>
      <c r="T26" s="67" t="s">
        <v>48</v>
      </c>
    </row>
    <row r="27" spans="1:20" ht="18">
      <c r="A27" s="562"/>
      <c r="B27" s="563"/>
      <c r="C27" s="563" t="s">
        <v>799</v>
      </c>
      <c r="D27" s="563"/>
      <c r="E27" s="563"/>
      <c r="F27" s="331"/>
      <c r="G27" s="476"/>
      <c r="H27" s="476"/>
      <c r="I27" s="72"/>
      <c r="J27" s="72"/>
      <c r="K27" s="332"/>
      <c r="L27" s="332"/>
      <c r="M27" s="332"/>
      <c r="N27" s="332"/>
      <c r="O27" s="332"/>
      <c r="P27" s="332"/>
      <c r="Q27" s="332"/>
      <c r="R27" s="332"/>
      <c r="S27" s="72"/>
      <c r="T27" s="72"/>
    </row>
    <row r="28" spans="1:20" ht="18">
      <c r="A28" s="562"/>
      <c r="B28" s="563"/>
      <c r="C28" s="563" t="s">
        <v>840</v>
      </c>
      <c r="D28" s="563"/>
      <c r="E28" s="563"/>
      <c r="F28" s="544"/>
      <c r="G28" s="476"/>
      <c r="H28" s="476"/>
      <c r="I28" s="72"/>
      <c r="J28" s="72"/>
      <c r="K28" s="332"/>
      <c r="L28" s="332"/>
      <c r="M28" s="332"/>
      <c r="N28" s="332"/>
      <c r="O28" s="332"/>
      <c r="P28" s="332"/>
      <c r="Q28" s="332"/>
      <c r="R28" s="332"/>
      <c r="S28" s="72"/>
      <c r="T28" s="72"/>
    </row>
    <row r="29" spans="1:20" ht="18">
      <c r="A29" s="564"/>
      <c r="B29" s="565"/>
      <c r="C29" s="565" t="s">
        <v>841</v>
      </c>
      <c r="D29" s="565"/>
      <c r="E29" s="565"/>
      <c r="F29" s="544"/>
      <c r="G29" s="471"/>
      <c r="H29" s="471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</row>
    <row r="30" spans="1:20" ht="18">
      <c r="A30" s="566"/>
      <c r="B30" s="567"/>
      <c r="C30" s="567"/>
      <c r="D30" s="567"/>
      <c r="E30" s="567"/>
      <c r="F30" s="544"/>
      <c r="G30" s="471"/>
      <c r="H30" s="471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</row>
    <row r="31" spans="1:20" ht="18">
      <c r="A31" s="568" t="s">
        <v>108</v>
      </c>
      <c r="B31" s="569" t="s">
        <v>571</v>
      </c>
      <c r="C31" s="570">
        <f>282612-73731-90112-8192</f>
        <v>110577</v>
      </c>
      <c r="D31" s="571">
        <v>110577</v>
      </c>
      <c r="E31" s="572">
        <v>8192</v>
      </c>
      <c r="F31" s="544">
        <v>282612</v>
      </c>
      <c r="G31" s="471"/>
      <c r="H31" s="471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</row>
    <row r="32" spans="1:20" ht="18">
      <c r="A32" s="568" t="s">
        <v>569</v>
      </c>
      <c r="B32" s="573">
        <v>0.15</v>
      </c>
      <c r="C32" s="570">
        <f>179847-92811-2086-22946</f>
        <v>62004</v>
      </c>
      <c r="D32" s="574">
        <f>(131880+35024)*0.15</f>
        <v>25035.599999999999</v>
      </c>
      <c r="E32" s="572">
        <f>D32/12</f>
        <v>2086.2999999999997</v>
      </c>
      <c r="F32" s="544">
        <v>35024</v>
      </c>
      <c r="G32" s="471"/>
      <c r="H32" s="471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</row>
    <row r="33" spans="1:20" ht="18">
      <c r="A33" s="568" t="s">
        <v>570</v>
      </c>
      <c r="B33" s="575">
        <v>0.2</v>
      </c>
      <c r="C33" s="576">
        <f>238870-130402-43263-3599</f>
        <v>61606</v>
      </c>
      <c r="D33" s="574">
        <f>(116548+74906)*20/100</f>
        <v>38290.800000000003</v>
      </c>
      <c r="E33" s="572">
        <f>D33/12</f>
        <v>3190.9</v>
      </c>
      <c r="F33" s="544">
        <v>73056</v>
      </c>
      <c r="G33" s="471"/>
      <c r="H33" s="471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</row>
    <row r="34" spans="1:20" ht="18">
      <c r="A34" s="568" t="s">
        <v>110</v>
      </c>
      <c r="B34" s="575">
        <v>0.25</v>
      </c>
      <c r="C34" s="576">
        <f>612832-400731-113443-10313</f>
        <v>88345</v>
      </c>
      <c r="D34" s="577">
        <f>487709-395420.8+(25/100*125863)</f>
        <v>123753.95000000001</v>
      </c>
      <c r="E34" s="572">
        <f>D34/12</f>
        <v>10312.829166666668</v>
      </c>
      <c r="F34" s="544">
        <v>124913</v>
      </c>
      <c r="G34" s="471"/>
      <c r="H34" s="471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</row>
    <row r="35" spans="1:20" ht="18">
      <c r="A35" s="568" t="s">
        <v>805</v>
      </c>
      <c r="B35" s="575">
        <v>0.25</v>
      </c>
      <c r="C35" s="576">
        <v>15000</v>
      </c>
      <c r="D35" s="577">
        <v>3750</v>
      </c>
      <c r="E35" s="572">
        <f>D35/12</f>
        <v>312.5</v>
      </c>
      <c r="F35" s="544"/>
      <c r="G35" s="471"/>
      <c r="H35" s="471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</row>
    <row r="36" spans="1:20" ht="18">
      <c r="A36" s="568" t="s">
        <v>806</v>
      </c>
      <c r="B36" s="575">
        <v>0.25</v>
      </c>
      <c r="C36" s="576">
        <v>18000</v>
      </c>
      <c r="D36" s="577">
        <v>4500</v>
      </c>
      <c r="E36" s="572">
        <f>D36/11</f>
        <v>409.09090909090907</v>
      </c>
      <c r="F36" s="544"/>
      <c r="G36" s="471"/>
      <c r="H36" s="471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</row>
    <row r="37" spans="1:20" ht="18">
      <c r="A37" s="568" t="s">
        <v>808</v>
      </c>
      <c r="B37" s="575">
        <v>0.25</v>
      </c>
      <c r="C37" s="576">
        <v>5000</v>
      </c>
      <c r="D37" s="577">
        <v>1250</v>
      </c>
      <c r="E37" s="572">
        <v>104.17</v>
      </c>
      <c r="F37" s="544"/>
      <c r="G37" s="471"/>
      <c r="H37" s="471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</row>
    <row r="38" spans="1:20" ht="18">
      <c r="A38" s="568" t="s">
        <v>807</v>
      </c>
      <c r="B38" s="575">
        <v>0.2</v>
      </c>
      <c r="C38" s="576">
        <v>30000</v>
      </c>
      <c r="D38" s="577">
        <v>6000</v>
      </c>
      <c r="E38" s="572">
        <v>500</v>
      </c>
      <c r="F38" s="544"/>
      <c r="G38" s="471"/>
      <c r="H38" s="471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</row>
    <row r="39" spans="1:20" ht="18">
      <c r="A39" s="568" t="s">
        <v>112</v>
      </c>
      <c r="B39" s="575"/>
      <c r="C39" s="576"/>
      <c r="D39" s="577">
        <v>1248</v>
      </c>
      <c r="E39" s="572"/>
      <c r="F39" s="544"/>
      <c r="G39" s="471"/>
      <c r="H39" s="471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</row>
    <row r="40" spans="1:20" ht="18">
      <c r="A40" s="568" t="s">
        <v>700</v>
      </c>
      <c r="B40" s="575"/>
      <c r="C40" s="576"/>
      <c r="D40" s="577">
        <v>421</v>
      </c>
      <c r="E40" s="572"/>
      <c r="F40" s="544"/>
      <c r="G40" s="471"/>
      <c r="H40" s="471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</row>
    <row r="41" spans="1:20" ht="18">
      <c r="A41" s="568" t="s">
        <v>193</v>
      </c>
      <c r="B41" s="575">
        <v>0.25</v>
      </c>
      <c r="C41" s="576"/>
      <c r="D41" s="577">
        <f>F41*B41</f>
        <v>0</v>
      </c>
      <c r="E41" s="572">
        <f>D41/12</f>
        <v>0</v>
      </c>
      <c r="F41" s="544">
        <v>0</v>
      </c>
      <c r="G41" s="471"/>
      <c r="H41" s="471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</row>
    <row r="42" spans="1:20" ht="18">
      <c r="A42" s="568" t="s">
        <v>844</v>
      </c>
      <c r="B42" s="575">
        <v>0.25</v>
      </c>
      <c r="C42" s="576">
        <v>1000</v>
      </c>
      <c r="D42" s="577">
        <v>250</v>
      </c>
      <c r="E42" s="572">
        <f>+D42/12</f>
        <v>20.833333333333332</v>
      </c>
      <c r="F42" s="544"/>
      <c r="G42" s="471"/>
      <c r="H42" s="471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</row>
    <row r="43" spans="1:20" ht="18">
      <c r="A43" s="568" t="s">
        <v>194</v>
      </c>
      <c r="B43" s="575">
        <v>0.2</v>
      </c>
      <c r="C43" s="570"/>
      <c r="D43" s="577">
        <f>3657+(6224.25*0.2)</f>
        <v>4901.8500000000004</v>
      </c>
      <c r="E43" s="572">
        <f>D43/12</f>
        <v>408.48750000000001</v>
      </c>
      <c r="F43" s="544">
        <v>3217</v>
      </c>
      <c r="G43" s="471"/>
      <c r="H43" s="471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</row>
    <row r="44" spans="1:20" ht="18">
      <c r="A44" s="568" t="s">
        <v>701</v>
      </c>
      <c r="B44" s="575"/>
      <c r="C44" s="570">
        <v>0</v>
      </c>
      <c r="D44" s="577"/>
      <c r="E44" s="572"/>
      <c r="F44" s="544"/>
      <c r="G44" s="471"/>
      <c r="H44" s="471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</row>
    <row r="45" spans="1:20" ht="18">
      <c r="A45" s="568" t="s">
        <v>109</v>
      </c>
      <c r="B45" s="575"/>
      <c r="C45" s="570">
        <v>0</v>
      </c>
      <c r="D45" s="577">
        <v>0</v>
      </c>
      <c r="E45" s="572">
        <v>0</v>
      </c>
      <c r="F45" s="544"/>
      <c r="G45" s="471"/>
      <c r="H45" s="471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</row>
    <row r="46" spans="1:20" ht="18">
      <c r="A46" s="568"/>
      <c r="B46" s="578"/>
      <c r="C46" s="578"/>
      <c r="D46" s="578"/>
      <c r="E46" s="578"/>
      <c r="F46" s="544"/>
      <c r="G46" s="471"/>
      <c r="H46" s="471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</row>
    <row r="47" spans="1:20" ht="18.75" thickBot="1">
      <c r="A47" s="579" t="s">
        <v>196</v>
      </c>
      <c r="B47" s="580"/>
      <c r="C47" s="581">
        <f>SUM(C31:C45)</f>
        <v>391532</v>
      </c>
      <c r="D47" s="582">
        <f>SUM(D31:D43)</f>
        <v>319978.2</v>
      </c>
      <c r="E47" s="583">
        <f>SUM(E31:E43)</f>
        <v>25537.110909090905</v>
      </c>
      <c r="F47" s="545">
        <f>SUM(F31:F46)</f>
        <v>518822</v>
      </c>
      <c r="G47" s="471"/>
      <c r="H47" s="471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>
        <f>SUM(G47:Q47)</f>
        <v>0</v>
      </c>
    </row>
    <row r="48" spans="1:20">
      <c r="A48" s="472"/>
      <c r="B48" s="473"/>
      <c r="C48" s="473"/>
      <c r="D48" s="473"/>
      <c r="E48" s="473"/>
      <c r="F48" s="474"/>
      <c r="G48" s="452"/>
      <c r="H48" s="452"/>
    </row>
    <row r="49" spans="1:8">
      <c r="A49" s="475"/>
      <c r="B49" s="476"/>
      <c r="C49" s="476"/>
      <c r="D49" s="476"/>
      <c r="E49" s="476"/>
      <c r="F49" s="477"/>
      <c r="G49" s="452"/>
      <c r="H49" s="452"/>
    </row>
    <row r="50" spans="1:8">
      <c r="A50" s="452"/>
      <c r="B50" s="452"/>
      <c r="C50" s="452"/>
      <c r="D50" s="452"/>
      <c r="E50" s="452"/>
      <c r="F50" s="452"/>
      <c r="G50" s="452"/>
      <c r="H50" s="452"/>
    </row>
    <row r="51" spans="1:8">
      <c r="A51" s="452"/>
      <c r="B51" s="452"/>
      <c r="C51" s="452"/>
      <c r="D51" s="452"/>
      <c r="E51" s="452"/>
      <c r="F51" s="452"/>
      <c r="G51" s="452"/>
      <c r="H51" s="452"/>
    </row>
    <row r="52" spans="1:8">
      <c r="A52" s="452"/>
      <c r="B52" s="452"/>
      <c r="C52" s="452"/>
      <c r="D52" s="452"/>
      <c r="E52" s="452"/>
      <c r="F52" s="452"/>
      <c r="G52" s="452"/>
      <c r="H52" s="452"/>
    </row>
    <row r="53" spans="1:8">
      <c r="A53" s="452"/>
      <c r="B53" s="452"/>
      <c r="C53" s="452"/>
      <c r="D53" s="452"/>
      <c r="E53" s="452"/>
      <c r="F53" s="452"/>
      <c r="G53" s="452"/>
      <c r="H53" s="452"/>
    </row>
    <row r="54" spans="1:8">
      <c r="A54" s="452"/>
      <c r="B54" s="452"/>
      <c r="C54" s="452"/>
      <c r="D54" s="452"/>
      <c r="E54" s="452"/>
      <c r="F54" s="452"/>
      <c r="G54" s="452"/>
      <c r="H54" s="452"/>
    </row>
    <row r="55" spans="1:8">
      <c r="A55" s="452"/>
      <c r="B55" s="452"/>
      <c r="C55" s="452"/>
      <c r="D55" s="452"/>
      <c r="E55" s="452"/>
      <c r="F55" s="452"/>
      <c r="G55" s="452"/>
      <c r="H55" s="452"/>
    </row>
    <row r="56" spans="1:8">
      <c r="A56" s="452"/>
      <c r="B56" s="452"/>
      <c r="C56" s="452"/>
      <c r="D56" s="452"/>
      <c r="E56" s="452"/>
      <c r="F56" s="452"/>
      <c r="G56" s="452"/>
      <c r="H56" s="452"/>
    </row>
    <row r="57" spans="1:8">
      <c r="A57" s="452"/>
      <c r="B57" s="452"/>
      <c r="C57" s="452"/>
      <c r="D57" s="452"/>
      <c r="E57" s="452"/>
      <c r="F57" s="452"/>
      <c r="G57" s="452"/>
      <c r="H57" s="452"/>
    </row>
    <row r="58" spans="1:8">
      <c r="A58" s="452"/>
      <c r="B58" s="452"/>
      <c r="C58" s="452"/>
      <c r="D58" s="452"/>
      <c r="E58" s="452"/>
      <c r="F58" s="452"/>
      <c r="G58" s="452"/>
      <c r="H58" s="452"/>
    </row>
    <row r="59" spans="1:8">
      <c r="A59" s="452"/>
      <c r="B59" s="452"/>
      <c r="C59" s="452"/>
      <c r="D59" s="452"/>
      <c r="E59" s="452"/>
      <c r="F59" s="452"/>
      <c r="G59" s="452"/>
      <c r="H59" s="452"/>
    </row>
    <row r="60" spans="1:8">
      <c r="A60" s="452"/>
      <c r="B60" s="452"/>
      <c r="C60" s="452"/>
      <c r="D60" s="452"/>
      <c r="E60" s="452"/>
      <c r="F60" s="452"/>
      <c r="G60" s="452"/>
      <c r="H60" s="452"/>
    </row>
    <row r="61" spans="1:8">
      <c r="A61" s="452"/>
      <c r="B61" s="452"/>
      <c r="C61" s="452"/>
      <c r="D61" s="452"/>
      <c r="E61" s="452"/>
      <c r="F61" s="452"/>
      <c r="G61" s="452"/>
      <c r="H61" s="452"/>
    </row>
    <row r="62" spans="1:8">
      <c r="A62" s="452"/>
      <c r="B62" s="452"/>
      <c r="C62" s="452"/>
      <c r="D62" s="452"/>
      <c r="E62" s="452"/>
      <c r="F62" s="452"/>
      <c r="G62" s="452"/>
      <c r="H62" s="452"/>
    </row>
    <row r="63" spans="1:8">
      <c r="A63" s="452"/>
      <c r="B63" s="452"/>
      <c r="C63" s="452"/>
      <c r="D63" s="452"/>
      <c r="E63" s="452"/>
      <c r="F63" s="452"/>
      <c r="G63" s="452"/>
      <c r="H63" s="452"/>
    </row>
    <row r="64" spans="1:8">
      <c r="A64" s="452"/>
      <c r="B64" s="452"/>
      <c r="C64" s="452"/>
      <c r="D64" s="452"/>
      <c r="E64" s="452"/>
      <c r="F64" s="452"/>
      <c r="G64" s="452"/>
      <c r="H64" s="452"/>
    </row>
    <row r="65" spans="1:8">
      <c r="A65" s="452"/>
      <c r="B65" s="452"/>
      <c r="C65" s="452"/>
      <c r="D65" s="452"/>
      <c r="E65" s="452"/>
      <c r="F65" s="452"/>
      <c r="G65" s="452"/>
      <c r="H65" s="452"/>
    </row>
    <row r="66" spans="1:8">
      <c r="A66" s="452"/>
      <c r="B66" s="452"/>
      <c r="C66" s="452"/>
      <c r="D66" s="452"/>
      <c r="E66" s="452"/>
      <c r="F66" s="452"/>
      <c r="G66" s="452"/>
      <c r="H66" s="452"/>
    </row>
    <row r="67" spans="1:8">
      <c r="A67" s="452"/>
      <c r="B67" s="452"/>
      <c r="C67" s="452"/>
      <c r="D67" s="452"/>
      <c r="E67" s="452"/>
      <c r="F67" s="452"/>
      <c r="G67" s="452"/>
      <c r="H67" s="452"/>
    </row>
    <row r="68" spans="1:8">
      <c r="A68" s="452"/>
      <c r="B68" s="452"/>
      <c r="C68" s="452"/>
      <c r="D68" s="452"/>
      <c r="E68" s="452"/>
      <c r="F68" s="452"/>
      <c r="G68" s="452"/>
      <c r="H68" s="452"/>
    </row>
    <row r="69" spans="1:8">
      <c r="A69" s="452"/>
      <c r="B69" s="452"/>
      <c r="C69" s="452"/>
      <c r="D69" s="452"/>
      <c r="E69" s="452"/>
      <c r="F69" s="452"/>
      <c r="G69" s="452"/>
      <c r="H69" s="452"/>
    </row>
    <row r="70" spans="1:8">
      <c r="A70" s="452"/>
      <c r="B70" s="452"/>
      <c r="C70" s="452"/>
      <c r="D70" s="452"/>
      <c r="E70" s="452"/>
      <c r="F70" s="452"/>
      <c r="G70" s="452"/>
      <c r="H70" s="452"/>
    </row>
    <row r="71" spans="1:8">
      <c r="A71" s="452"/>
      <c r="B71" s="452"/>
      <c r="C71" s="452"/>
      <c r="D71" s="452"/>
      <c r="E71" s="452"/>
      <c r="F71" s="452"/>
      <c r="G71" s="452"/>
      <c r="H71" s="452"/>
    </row>
    <row r="72" spans="1:8">
      <c r="A72" s="452"/>
      <c r="B72" s="452"/>
      <c r="C72" s="452"/>
      <c r="D72" s="452"/>
      <c r="E72" s="452"/>
      <c r="F72" s="452"/>
      <c r="G72" s="452"/>
      <c r="H72" s="452"/>
    </row>
    <row r="73" spans="1:8">
      <c r="A73" s="452"/>
      <c r="B73" s="452"/>
      <c r="C73" s="452"/>
      <c r="D73" s="452"/>
      <c r="E73" s="452"/>
      <c r="F73" s="452"/>
      <c r="G73" s="452"/>
      <c r="H73" s="452"/>
    </row>
    <row r="74" spans="1:8">
      <c r="A74" s="452"/>
      <c r="B74" s="452"/>
      <c r="C74" s="452"/>
      <c r="D74" s="452"/>
      <c r="E74" s="452"/>
      <c r="F74" s="452"/>
      <c r="G74" s="452"/>
      <c r="H74" s="452"/>
    </row>
    <row r="75" spans="1:8">
      <c r="A75" s="452"/>
      <c r="B75" s="452"/>
      <c r="C75" s="452"/>
      <c r="D75" s="452"/>
      <c r="E75" s="452"/>
      <c r="F75" s="452"/>
      <c r="G75" s="452"/>
      <c r="H75" s="452"/>
    </row>
    <row r="76" spans="1:8">
      <c r="A76" s="452"/>
      <c r="B76" s="452"/>
      <c r="C76" s="452"/>
      <c r="D76" s="452"/>
      <c r="E76" s="452"/>
      <c r="F76" s="452"/>
      <c r="G76" s="452"/>
      <c r="H76" s="452"/>
    </row>
    <row r="77" spans="1:8">
      <c r="A77" s="452"/>
      <c r="B77" s="452"/>
      <c r="C77" s="452"/>
      <c r="D77" s="452"/>
      <c r="E77" s="452"/>
      <c r="F77" s="452"/>
      <c r="G77" s="452"/>
      <c r="H77" s="452"/>
    </row>
    <row r="78" spans="1:8">
      <c r="A78" s="452"/>
      <c r="B78" s="452"/>
      <c r="C78" s="452"/>
      <c r="D78" s="452"/>
      <c r="E78" s="452"/>
      <c r="F78" s="452"/>
      <c r="G78" s="452"/>
      <c r="H78" s="452"/>
    </row>
    <row r="79" spans="1:8">
      <c r="A79" s="452"/>
      <c r="B79" s="452"/>
      <c r="C79" s="452"/>
      <c r="D79" s="452"/>
      <c r="E79" s="452"/>
      <c r="F79" s="452"/>
      <c r="G79" s="452"/>
      <c r="H79" s="452"/>
    </row>
    <row r="80" spans="1:8">
      <c r="A80" s="452"/>
      <c r="B80" s="452"/>
      <c r="C80" s="452"/>
      <c r="D80" s="452"/>
      <c r="E80" s="452"/>
      <c r="F80" s="452"/>
      <c r="G80" s="452"/>
      <c r="H80" s="452"/>
    </row>
    <row r="81" spans="1:8">
      <c r="A81" s="452"/>
      <c r="B81" s="452"/>
      <c r="C81" s="452"/>
      <c r="D81" s="452"/>
      <c r="E81" s="452"/>
      <c r="F81" s="452"/>
      <c r="G81" s="452"/>
      <c r="H81" s="452"/>
    </row>
    <row r="82" spans="1:8">
      <c r="A82" s="452"/>
      <c r="B82" s="452"/>
      <c r="C82" s="452"/>
      <c r="D82" s="452"/>
      <c r="E82" s="452"/>
      <c r="F82" s="452"/>
      <c r="G82" s="452"/>
      <c r="H82" s="452"/>
    </row>
    <row r="83" spans="1:8">
      <c r="A83" s="452"/>
      <c r="B83" s="452"/>
      <c r="C83" s="452"/>
      <c r="D83" s="452"/>
      <c r="E83" s="452"/>
      <c r="F83" s="452"/>
      <c r="G83" s="452"/>
      <c r="H83" s="452"/>
    </row>
    <row r="84" spans="1:8">
      <c r="A84" s="452"/>
      <c r="B84" s="452"/>
      <c r="C84" s="452"/>
      <c r="D84" s="452"/>
      <c r="E84" s="452"/>
      <c r="F84" s="452"/>
      <c r="G84" s="452"/>
      <c r="H84" s="452"/>
    </row>
    <row r="85" spans="1:8">
      <c r="A85" s="452"/>
      <c r="B85" s="452"/>
      <c r="C85" s="452"/>
      <c r="D85" s="452"/>
      <c r="E85" s="452"/>
      <c r="F85" s="452"/>
      <c r="G85" s="452"/>
      <c r="H85" s="452"/>
    </row>
    <row r="86" spans="1:8">
      <c r="A86" s="452"/>
      <c r="B86" s="452"/>
      <c r="C86" s="452"/>
      <c r="D86" s="452"/>
      <c r="E86" s="452"/>
      <c r="F86" s="452"/>
      <c r="G86" s="452"/>
      <c r="H86" s="452"/>
    </row>
    <row r="87" spans="1:8">
      <c r="A87" s="452"/>
      <c r="B87" s="452"/>
      <c r="C87" s="452"/>
      <c r="D87" s="452"/>
      <c r="E87" s="452"/>
      <c r="F87" s="452"/>
      <c r="G87" s="452"/>
      <c r="H87" s="452"/>
    </row>
    <row r="88" spans="1:8">
      <c r="A88" s="452"/>
      <c r="B88" s="452"/>
      <c r="C88" s="452"/>
      <c r="D88" s="452"/>
      <c r="E88" s="452"/>
      <c r="F88" s="452"/>
      <c r="G88" s="452"/>
      <c r="H88" s="452"/>
    </row>
    <row r="89" spans="1:8">
      <c r="A89" s="452"/>
      <c r="B89" s="452"/>
      <c r="C89" s="452"/>
      <c r="D89" s="452"/>
      <c r="E89" s="452"/>
      <c r="F89" s="452"/>
      <c r="G89" s="452"/>
      <c r="H89" s="452"/>
    </row>
    <row r="90" spans="1:8">
      <c r="A90" s="452"/>
      <c r="B90" s="452"/>
      <c r="C90" s="452"/>
      <c r="D90" s="452"/>
      <c r="E90" s="452"/>
      <c r="F90" s="452"/>
      <c r="G90" s="452"/>
      <c r="H90" s="452"/>
    </row>
    <row r="91" spans="1:8">
      <c r="A91" s="452"/>
      <c r="B91" s="452"/>
      <c r="C91" s="452"/>
      <c r="D91" s="452"/>
      <c r="E91" s="452"/>
      <c r="F91" s="452"/>
      <c r="G91" s="452"/>
      <c r="H91" s="452"/>
    </row>
    <row r="92" spans="1:8">
      <c r="A92" s="452"/>
      <c r="B92" s="452"/>
      <c r="C92" s="452"/>
      <c r="D92" s="452"/>
      <c r="E92" s="452"/>
      <c r="F92" s="452"/>
      <c r="G92" s="452"/>
      <c r="H92" s="452"/>
    </row>
    <row r="93" spans="1:8">
      <c r="A93" s="452"/>
      <c r="B93" s="452"/>
      <c r="C93" s="452"/>
      <c r="D93" s="452"/>
      <c r="E93" s="452"/>
      <c r="F93" s="452"/>
      <c r="G93" s="452"/>
      <c r="H93" s="452"/>
    </row>
    <row r="94" spans="1:8">
      <c r="A94" s="452"/>
      <c r="B94" s="452"/>
      <c r="C94" s="452"/>
      <c r="D94" s="452"/>
      <c r="E94" s="452"/>
      <c r="F94" s="452"/>
      <c r="G94" s="452"/>
      <c r="H94" s="452"/>
    </row>
    <row r="95" spans="1:8">
      <c r="A95" s="452"/>
      <c r="B95" s="452"/>
      <c r="C95" s="452"/>
      <c r="D95" s="452"/>
      <c r="E95" s="452"/>
      <c r="F95" s="452"/>
      <c r="G95" s="452"/>
      <c r="H95" s="452"/>
    </row>
    <row r="96" spans="1:8">
      <c r="A96" s="452"/>
      <c r="B96" s="452"/>
      <c r="C96" s="452"/>
      <c r="D96" s="452"/>
      <c r="E96" s="452"/>
      <c r="F96" s="452"/>
      <c r="G96" s="452"/>
      <c r="H96" s="452"/>
    </row>
    <row r="97" spans="1:8">
      <c r="A97" s="452"/>
      <c r="B97" s="452"/>
      <c r="C97" s="452"/>
      <c r="D97" s="452"/>
      <c r="E97" s="452"/>
      <c r="F97" s="452"/>
      <c r="G97" s="452"/>
      <c r="H97" s="452"/>
    </row>
    <row r="98" spans="1:8">
      <c r="A98" s="452"/>
      <c r="B98" s="452"/>
      <c r="C98" s="452"/>
      <c r="D98" s="452"/>
      <c r="E98" s="452"/>
      <c r="F98" s="452"/>
      <c r="G98" s="452"/>
      <c r="H98" s="452"/>
    </row>
    <row r="99" spans="1:8">
      <c r="A99" s="452"/>
      <c r="B99" s="452"/>
      <c r="C99" s="452"/>
      <c r="D99" s="452"/>
      <c r="E99" s="452"/>
      <c r="F99" s="452"/>
      <c r="G99" s="452"/>
      <c r="H99" s="452"/>
    </row>
    <row r="100" spans="1:8">
      <c r="A100" s="452"/>
      <c r="B100" s="452"/>
      <c r="C100" s="452"/>
      <c r="D100" s="452"/>
      <c r="E100" s="452"/>
      <c r="F100" s="452"/>
      <c r="G100" s="452"/>
      <c r="H100" s="452"/>
    </row>
    <row r="101" spans="1:8">
      <c r="A101" s="452"/>
      <c r="B101" s="452"/>
      <c r="C101" s="452"/>
      <c r="D101" s="452"/>
      <c r="E101" s="452"/>
      <c r="F101" s="452"/>
      <c r="G101" s="452"/>
      <c r="H101" s="452"/>
    </row>
    <row r="102" spans="1:8">
      <c r="A102" s="452"/>
      <c r="B102" s="452"/>
      <c r="C102" s="452"/>
      <c r="D102" s="452"/>
      <c r="E102" s="452"/>
      <c r="F102" s="452"/>
      <c r="G102" s="452"/>
      <c r="H102" s="452"/>
    </row>
    <row r="103" spans="1:8">
      <c r="A103" s="452"/>
      <c r="B103" s="452"/>
      <c r="C103" s="452"/>
      <c r="D103" s="452"/>
      <c r="E103" s="452"/>
      <c r="F103" s="452"/>
      <c r="G103" s="452"/>
      <c r="H103" s="452"/>
    </row>
    <row r="104" spans="1:8">
      <c r="A104" s="452"/>
      <c r="B104" s="452"/>
      <c r="C104" s="452"/>
      <c r="D104" s="452"/>
      <c r="E104" s="452"/>
      <c r="F104" s="452"/>
      <c r="G104" s="452"/>
      <c r="H104" s="452"/>
    </row>
    <row r="105" spans="1:8">
      <c r="A105" s="452"/>
      <c r="B105" s="452"/>
      <c r="C105" s="452"/>
      <c r="D105" s="452"/>
      <c r="E105" s="452"/>
      <c r="F105" s="452"/>
      <c r="G105" s="452"/>
      <c r="H105" s="452"/>
    </row>
    <row r="106" spans="1:8">
      <c r="A106" s="452"/>
      <c r="B106" s="452"/>
      <c r="C106" s="452"/>
      <c r="D106" s="452"/>
      <c r="E106" s="452"/>
      <c r="F106" s="452"/>
      <c r="G106" s="452"/>
      <c r="H106" s="452"/>
    </row>
  </sheetData>
  <phoneticPr fontId="0" type="noConversion"/>
  <printOptions gridLines="1"/>
  <pageMargins left="2.04" right="0.75" top="0.89" bottom="1" header="0.5" footer="0.5"/>
  <pageSetup scale="62" firstPageNumber="8" orientation="landscape" useFirstPageNumber="1" r:id="rId1"/>
  <headerFooter alignWithMargins="0">
    <oddHeader xml:space="preserve">&amp;C&amp;"Arial,Bold"EXECUTRAIN - DUBAI
Budget for the period Jan 2003 to Dec 2003
Capital Expenditure Budget&amp;"Arial,Regular"
</oddHeader>
    <oddFooter>&amp;CPage &amp;P</oddFooter>
  </headerFooter>
  <colBreaks count="1" manualBreakCount="1">
    <brk id="1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1"/>
  <dimension ref="A2:AH136"/>
  <sheetViews>
    <sheetView workbookViewId="0">
      <pane xSplit="3" ySplit="3" topLeftCell="I4" activePane="bottomRight" state="frozen"/>
      <selection pane="topRight" activeCell="D1" sqref="D1"/>
      <selection pane="bottomLeft" activeCell="A4" sqref="A4"/>
      <selection pane="bottomRight" sqref="A1:N37"/>
    </sheetView>
  </sheetViews>
  <sheetFormatPr defaultRowHeight="12.75"/>
  <cols>
    <col min="2" max="2" width="21.28515625" customWidth="1"/>
    <col min="9" max="9" width="11.42578125" style="63" customWidth="1"/>
    <col min="15" max="18" width="9.7109375" bestFit="1" customWidth="1"/>
    <col min="19" max="19" width="10.7109375" customWidth="1"/>
    <col min="20" max="25" width="10.7109375" bestFit="1" customWidth="1"/>
    <col min="26" max="27" width="11" customWidth="1"/>
  </cols>
  <sheetData>
    <row r="2" spans="1:34">
      <c r="A2" s="136" t="s">
        <v>145</v>
      </c>
      <c r="B2" s="137" t="s">
        <v>146</v>
      </c>
      <c r="C2" s="138" t="s">
        <v>147</v>
      </c>
      <c r="D2" s="137" t="s">
        <v>729</v>
      </c>
      <c r="E2" s="137"/>
      <c r="F2" s="137"/>
      <c r="G2" s="137"/>
      <c r="H2" s="137"/>
      <c r="I2" s="546" t="s">
        <v>173</v>
      </c>
      <c r="J2" s="585" t="s">
        <v>148</v>
      </c>
      <c r="K2" s="586"/>
      <c r="L2" s="586"/>
      <c r="M2" s="586"/>
      <c r="N2" s="587"/>
    </row>
    <row r="3" spans="1:34">
      <c r="A3" s="139"/>
      <c r="B3" s="140"/>
      <c r="C3" s="141" t="s">
        <v>149</v>
      </c>
      <c r="D3" s="142" t="s">
        <v>150</v>
      </c>
      <c r="E3" s="142" t="s">
        <v>151</v>
      </c>
      <c r="F3" s="143" t="s">
        <v>152</v>
      </c>
      <c r="G3" s="142" t="s">
        <v>153</v>
      </c>
      <c r="H3" s="144" t="s">
        <v>5</v>
      </c>
      <c r="I3" s="547" t="s">
        <v>170</v>
      </c>
      <c r="J3" s="142" t="s">
        <v>150</v>
      </c>
      <c r="K3" s="142" t="s">
        <v>151</v>
      </c>
      <c r="L3" s="553" t="s">
        <v>152</v>
      </c>
      <c r="M3" s="142" t="s">
        <v>153</v>
      </c>
      <c r="N3" s="142" t="s">
        <v>5</v>
      </c>
      <c r="O3" s="161">
        <v>37622</v>
      </c>
      <c r="P3" s="161">
        <v>37653</v>
      </c>
      <c r="Q3" s="161">
        <v>37681</v>
      </c>
      <c r="R3" s="161">
        <v>37712</v>
      </c>
      <c r="S3" s="161">
        <v>37742</v>
      </c>
      <c r="T3" s="161">
        <v>37773</v>
      </c>
      <c r="U3" s="161">
        <v>37803</v>
      </c>
      <c r="V3" s="161">
        <v>37834</v>
      </c>
      <c r="W3" s="161">
        <v>37865</v>
      </c>
      <c r="X3" s="161">
        <v>37895</v>
      </c>
      <c r="Y3" s="161">
        <v>37926</v>
      </c>
      <c r="Z3" s="161">
        <v>37956</v>
      </c>
      <c r="AA3" s="161"/>
      <c r="AD3" s="161">
        <v>36892</v>
      </c>
      <c r="AE3" s="161" t="s">
        <v>699</v>
      </c>
      <c r="AF3" s="161">
        <v>36951</v>
      </c>
      <c r="AG3" s="161">
        <v>36982</v>
      </c>
      <c r="AH3" s="161">
        <v>37012</v>
      </c>
    </row>
    <row r="4" spans="1:34">
      <c r="A4" s="146"/>
      <c r="B4" s="147" t="s">
        <v>167</v>
      </c>
      <c r="C4" s="147"/>
      <c r="D4" s="148"/>
      <c r="E4" s="148"/>
      <c r="F4" s="148"/>
      <c r="G4" s="148"/>
      <c r="H4" s="149"/>
      <c r="I4" s="548"/>
      <c r="J4" s="150"/>
      <c r="K4" s="150"/>
      <c r="L4" s="150"/>
      <c r="M4" s="3"/>
      <c r="N4" s="150"/>
    </row>
    <row r="5" spans="1:34">
      <c r="A5" s="146"/>
      <c r="B5" s="147"/>
      <c r="C5" s="147"/>
      <c r="D5" s="148"/>
      <c r="E5" s="148"/>
      <c r="F5" s="148"/>
      <c r="G5" s="148"/>
      <c r="H5" s="149"/>
      <c r="I5" s="548"/>
      <c r="J5" s="41"/>
      <c r="K5" s="41"/>
      <c r="L5" s="37"/>
      <c r="M5" s="41"/>
      <c r="N5" s="41"/>
    </row>
    <row r="6" spans="1:34" s="160" customFormat="1" ht="12" customHeight="1">
      <c r="A6" s="157"/>
      <c r="B6" s="152"/>
      <c r="C6" s="153"/>
      <c r="D6" s="149"/>
      <c r="E6" s="149"/>
      <c r="F6" s="149"/>
      <c r="G6" s="149">
        <v>0</v>
      </c>
      <c r="H6" s="149">
        <f>SUM(D6:G6)</f>
        <v>0</v>
      </c>
      <c r="I6" s="548"/>
      <c r="J6" s="149"/>
      <c r="K6" s="149"/>
      <c r="L6" s="158"/>
      <c r="M6" s="159"/>
      <c r="N6" s="149">
        <f>SUM(J6:M6)</f>
        <v>0</v>
      </c>
      <c r="O6" s="162"/>
      <c r="P6" s="162"/>
      <c r="Q6" s="162">
        <f t="shared" ref="Q6:Z6" si="0">+P6</f>
        <v>0</v>
      </c>
      <c r="R6" s="162">
        <f t="shared" si="0"/>
        <v>0</v>
      </c>
      <c r="S6" s="162">
        <f t="shared" si="0"/>
        <v>0</v>
      </c>
      <c r="T6" s="162">
        <f t="shared" si="0"/>
        <v>0</v>
      </c>
      <c r="U6" s="162">
        <f t="shared" si="0"/>
        <v>0</v>
      </c>
      <c r="V6" s="162">
        <f t="shared" si="0"/>
        <v>0</v>
      </c>
      <c r="W6" s="162">
        <f t="shared" si="0"/>
        <v>0</v>
      </c>
      <c r="X6" s="162">
        <f t="shared" si="0"/>
        <v>0</v>
      </c>
      <c r="Y6" s="162">
        <f t="shared" si="0"/>
        <v>0</v>
      </c>
      <c r="Z6" s="162">
        <f t="shared" si="0"/>
        <v>0</v>
      </c>
      <c r="AA6" s="162"/>
      <c r="AB6" s="162"/>
      <c r="AC6" s="162"/>
    </row>
    <row r="7" spans="1:34">
      <c r="A7" s="157"/>
      <c r="B7" s="152" t="s">
        <v>154</v>
      </c>
      <c r="C7" s="153">
        <v>36006</v>
      </c>
      <c r="D7" s="149">
        <v>1250</v>
      </c>
      <c r="E7" s="149"/>
      <c r="F7" s="149"/>
      <c r="G7" s="149"/>
      <c r="H7" s="149">
        <f t="shared" ref="H7:H34" si="1">SUM(D7:G7)</f>
        <v>1250</v>
      </c>
      <c r="I7" s="549" t="s">
        <v>741</v>
      </c>
      <c r="J7" s="149">
        <v>1450</v>
      </c>
      <c r="K7" s="149"/>
      <c r="L7" s="554"/>
      <c r="M7" s="149"/>
      <c r="N7" s="149">
        <f>SUM(J7:M7)</f>
        <v>1450</v>
      </c>
      <c r="O7" s="149">
        <f t="shared" ref="O7:P9" si="2">+N7</f>
        <v>1450</v>
      </c>
      <c r="P7" s="149">
        <f t="shared" si="2"/>
        <v>1450</v>
      </c>
      <c r="Q7" s="149">
        <v>1450</v>
      </c>
      <c r="R7" s="149">
        <f>+Q7</f>
        <v>1450</v>
      </c>
      <c r="S7" s="149">
        <f t="shared" ref="S7:Y7" si="3">+R7</f>
        <v>1450</v>
      </c>
      <c r="T7" s="149">
        <f t="shared" si="3"/>
        <v>1450</v>
      </c>
      <c r="U7" s="149">
        <f t="shared" si="3"/>
        <v>1450</v>
      </c>
      <c r="V7" s="149">
        <f>+U7</f>
        <v>1450</v>
      </c>
      <c r="W7" s="149">
        <f t="shared" si="3"/>
        <v>1450</v>
      </c>
      <c r="X7" s="149">
        <f>+W7</f>
        <v>1450</v>
      </c>
      <c r="Y7" s="149">
        <f t="shared" si="3"/>
        <v>1450</v>
      </c>
      <c r="Z7" s="149">
        <f>+Y7</f>
        <v>1450</v>
      </c>
      <c r="AA7" s="163"/>
      <c r="AB7" s="163" t="s">
        <v>178</v>
      </c>
      <c r="AC7" s="163">
        <v>2500</v>
      </c>
      <c r="AD7" s="163">
        <f>2500/24</f>
        <v>104.16666666666667</v>
      </c>
      <c r="AE7" s="163">
        <f>2500/24</f>
        <v>104.16666666666667</v>
      </c>
    </row>
    <row r="8" spans="1:34">
      <c r="A8" s="157"/>
      <c r="B8" s="152" t="s">
        <v>730</v>
      </c>
      <c r="C8" s="153">
        <v>37534</v>
      </c>
      <c r="D8" s="149">
        <v>4000</v>
      </c>
      <c r="E8" s="149">
        <v>2500</v>
      </c>
      <c r="F8" s="149">
        <v>500</v>
      </c>
      <c r="G8" s="149"/>
      <c r="H8" s="149">
        <f t="shared" si="1"/>
        <v>7000</v>
      </c>
      <c r="I8" s="549" t="s">
        <v>741</v>
      </c>
      <c r="J8" s="149">
        <v>4000</v>
      </c>
      <c r="K8" s="149">
        <v>2500</v>
      </c>
      <c r="L8" s="554">
        <v>500</v>
      </c>
      <c r="M8" s="149"/>
      <c r="N8" s="149">
        <f>SUM(J8:M8)</f>
        <v>7000</v>
      </c>
      <c r="O8" s="149">
        <f t="shared" si="2"/>
        <v>7000</v>
      </c>
      <c r="P8" s="149">
        <f t="shared" si="2"/>
        <v>7000</v>
      </c>
      <c r="Q8" s="149">
        <f t="shared" ref="Q8:Z9" si="4">+P8</f>
        <v>7000</v>
      </c>
      <c r="R8" s="149">
        <f t="shared" si="4"/>
        <v>7000</v>
      </c>
      <c r="S8" s="149">
        <f t="shared" si="4"/>
        <v>7000</v>
      </c>
      <c r="T8" s="149">
        <f t="shared" si="4"/>
        <v>7000</v>
      </c>
      <c r="U8" s="149">
        <f t="shared" si="4"/>
        <v>7000</v>
      </c>
      <c r="V8" s="149">
        <f t="shared" si="4"/>
        <v>7000</v>
      </c>
      <c r="W8" s="149">
        <f t="shared" si="4"/>
        <v>7000</v>
      </c>
      <c r="X8" s="149">
        <f t="shared" si="4"/>
        <v>7000</v>
      </c>
      <c r="Y8" s="149">
        <f t="shared" si="4"/>
        <v>7000</v>
      </c>
      <c r="Z8" s="149">
        <f t="shared" si="4"/>
        <v>7000</v>
      </c>
      <c r="AA8" s="149"/>
      <c r="AB8" s="163" t="s">
        <v>178</v>
      </c>
      <c r="AC8" s="163">
        <v>2500</v>
      </c>
      <c r="AD8" s="163">
        <f>2500/24</f>
        <v>104.16666666666667</v>
      </c>
      <c r="AE8" s="163">
        <f>2500/24</f>
        <v>104.16666666666667</v>
      </c>
    </row>
    <row r="9" spans="1:34">
      <c r="A9" s="157"/>
      <c r="B9" s="152" t="s">
        <v>731</v>
      </c>
      <c r="C9" s="153">
        <v>37485</v>
      </c>
      <c r="D9" s="149">
        <v>2300</v>
      </c>
      <c r="E9" s="149">
        <v>1200</v>
      </c>
      <c r="F9" s="149"/>
      <c r="G9" s="149"/>
      <c r="H9" s="149">
        <f>SUM(D9:G9)</f>
        <v>3500</v>
      </c>
      <c r="I9" s="550">
        <v>37865</v>
      </c>
      <c r="J9" s="149">
        <v>2300</v>
      </c>
      <c r="K9" s="149">
        <v>1200</v>
      </c>
      <c r="L9" s="554"/>
      <c r="M9" s="149"/>
      <c r="N9" s="149">
        <f>SUM(J9:M9)</f>
        <v>3500</v>
      </c>
      <c r="O9" s="149">
        <f>+H9</f>
        <v>3500</v>
      </c>
      <c r="P9" s="149">
        <f t="shared" si="2"/>
        <v>3500</v>
      </c>
      <c r="Q9" s="149">
        <f t="shared" ref="Q9:V9" si="5">+P9</f>
        <v>3500</v>
      </c>
      <c r="R9" s="149">
        <f t="shared" si="5"/>
        <v>3500</v>
      </c>
      <c r="S9" s="149">
        <f t="shared" si="5"/>
        <v>3500</v>
      </c>
      <c r="T9" s="149">
        <f t="shared" si="5"/>
        <v>3500</v>
      </c>
      <c r="U9" s="149">
        <f t="shared" si="5"/>
        <v>3500</v>
      </c>
      <c r="V9" s="149">
        <f t="shared" si="5"/>
        <v>3500</v>
      </c>
      <c r="W9" s="149">
        <f>+N9</f>
        <v>3500</v>
      </c>
      <c r="X9" s="149">
        <f t="shared" si="4"/>
        <v>3500</v>
      </c>
      <c r="Y9" s="149">
        <f t="shared" si="4"/>
        <v>3500</v>
      </c>
      <c r="Z9" s="149">
        <f t="shared" si="4"/>
        <v>3500</v>
      </c>
      <c r="AA9" s="163"/>
      <c r="AB9" s="163" t="s">
        <v>184</v>
      </c>
      <c r="AC9" s="163">
        <v>2500</v>
      </c>
      <c r="AD9" s="163">
        <v>104</v>
      </c>
      <c r="AE9" s="163">
        <v>104</v>
      </c>
    </row>
    <row r="10" spans="1:34">
      <c r="A10" s="151"/>
      <c r="B10" s="152"/>
      <c r="C10" s="153"/>
      <c r="D10" s="149"/>
      <c r="E10" s="149"/>
      <c r="F10" s="149"/>
      <c r="G10" s="149"/>
      <c r="H10" s="149"/>
      <c r="I10" s="551"/>
      <c r="J10" s="149"/>
      <c r="K10" s="149"/>
      <c r="L10" s="554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63"/>
      <c r="AB10" s="163"/>
      <c r="AC10" s="163"/>
    </row>
    <row r="11" spans="1:34">
      <c r="A11" s="151"/>
      <c r="B11" s="152"/>
      <c r="C11" s="153"/>
      <c r="D11" s="149"/>
      <c r="E11" s="149"/>
      <c r="F11" s="149"/>
      <c r="G11" s="149"/>
      <c r="H11" s="149"/>
      <c r="I11" s="551"/>
      <c r="J11" s="149"/>
      <c r="K11" s="149"/>
      <c r="L11" s="554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63"/>
      <c r="AB11" s="163"/>
      <c r="AC11" s="163"/>
    </row>
    <row r="12" spans="1:34">
      <c r="A12" s="151"/>
      <c r="B12" s="147" t="s">
        <v>166</v>
      </c>
      <c r="C12" s="153"/>
      <c r="D12" s="149"/>
      <c r="E12" s="149"/>
      <c r="F12" s="149"/>
      <c r="G12" s="149"/>
      <c r="H12" s="149"/>
      <c r="I12" s="551"/>
      <c r="J12" s="149"/>
      <c r="K12" s="149"/>
      <c r="L12" s="554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63"/>
      <c r="AB12" s="163"/>
      <c r="AC12" s="163"/>
    </row>
    <row r="13" spans="1:34">
      <c r="A13" s="151"/>
      <c r="B13" s="147"/>
      <c r="C13" s="153"/>
      <c r="D13" s="149"/>
      <c r="E13" s="149"/>
      <c r="F13" s="149"/>
      <c r="G13" s="149"/>
      <c r="H13" s="149"/>
      <c r="I13" s="551"/>
      <c r="J13" s="149"/>
      <c r="K13" s="149"/>
      <c r="L13" s="554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63"/>
      <c r="AB13" s="163"/>
      <c r="AC13" s="163"/>
    </row>
    <row r="14" spans="1:34">
      <c r="A14" s="151"/>
      <c r="B14" s="152" t="s">
        <v>156</v>
      </c>
      <c r="C14" s="153">
        <v>36093</v>
      </c>
      <c r="D14" s="149">
        <v>8500</v>
      </c>
      <c r="E14" s="149">
        <v>2000</v>
      </c>
      <c r="F14" s="149"/>
      <c r="G14" s="149"/>
      <c r="H14" s="149">
        <f t="shared" si="1"/>
        <v>10500</v>
      </c>
      <c r="I14" s="549" t="s">
        <v>741</v>
      </c>
      <c r="J14" s="149">
        <v>6950</v>
      </c>
      <c r="K14" s="149">
        <v>2050</v>
      </c>
      <c r="L14" s="554"/>
      <c r="M14" s="149"/>
      <c r="N14" s="149">
        <f t="shared" ref="N14:N23" si="6">SUM(J14:M14)</f>
        <v>9000</v>
      </c>
      <c r="O14" s="149">
        <f t="shared" ref="O14:Z21" si="7">N14</f>
        <v>9000</v>
      </c>
      <c r="P14" s="149">
        <f t="shared" si="7"/>
        <v>9000</v>
      </c>
      <c r="Q14" s="149">
        <f t="shared" si="7"/>
        <v>9000</v>
      </c>
      <c r="R14" s="149">
        <f t="shared" si="7"/>
        <v>9000</v>
      </c>
      <c r="S14" s="149">
        <f t="shared" si="7"/>
        <v>9000</v>
      </c>
      <c r="T14" s="149">
        <f t="shared" si="7"/>
        <v>9000</v>
      </c>
      <c r="U14" s="149">
        <f t="shared" si="7"/>
        <v>9000</v>
      </c>
      <c r="V14" s="149">
        <f t="shared" si="7"/>
        <v>9000</v>
      </c>
      <c r="W14" s="149">
        <f t="shared" si="7"/>
        <v>9000</v>
      </c>
      <c r="X14" s="149">
        <f t="shared" si="7"/>
        <v>9000</v>
      </c>
      <c r="Y14" s="149">
        <f t="shared" si="7"/>
        <v>9000</v>
      </c>
      <c r="Z14" s="149">
        <f t="shared" si="7"/>
        <v>9000</v>
      </c>
      <c r="AA14" s="163"/>
      <c r="AB14" s="163" t="s">
        <v>178</v>
      </c>
      <c r="AC14" s="163">
        <v>2500</v>
      </c>
      <c r="AD14" s="163">
        <f>2500/24</f>
        <v>104.16666666666667</v>
      </c>
      <c r="AE14" s="163">
        <f>2500/24</f>
        <v>104.16666666666667</v>
      </c>
    </row>
    <row r="15" spans="1:34">
      <c r="A15" s="151"/>
      <c r="B15" s="152"/>
      <c r="C15" s="153"/>
      <c r="D15" s="149"/>
      <c r="E15" s="149"/>
      <c r="F15" s="149"/>
      <c r="G15" s="149"/>
      <c r="H15" s="149">
        <f t="shared" si="1"/>
        <v>0</v>
      </c>
      <c r="I15" s="549"/>
      <c r="J15" s="149"/>
      <c r="K15" s="149"/>
      <c r="L15" s="554"/>
      <c r="M15" s="149"/>
      <c r="N15" s="149">
        <f t="shared" si="6"/>
        <v>0</v>
      </c>
      <c r="O15" s="149">
        <f t="shared" si="7"/>
        <v>0</v>
      </c>
      <c r="P15" s="149">
        <f t="shared" si="7"/>
        <v>0</v>
      </c>
      <c r="Q15" s="149">
        <f t="shared" si="7"/>
        <v>0</v>
      </c>
      <c r="R15" s="149">
        <f t="shared" si="7"/>
        <v>0</v>
      </c>
      <c r="S15" s="149">
        <f t="shared" si="7"/>
        <v>0</v>
      </c>
      <c r="T15" s="149">
        <f t="shared" si="7"/>
        <v>0</v>
      </c>
      <c r="U15" s="149">
        <f t="shared" si="7"/>
        <v>0</v>
      </c>
      <c r="V15" s="149">
        <f t="shared" si="7"/>
        <v>0</v>
      </c>
      <c r="W15" s="149">
        <f t="shared" si="7"/>
        <v>0</v>
      </c>
      <c r="X15" s="149">
        <f t="shared" si="7"/>
        <v>0</v>
      </c>
      <c r="Y15" s="149">
        <f t="shared" si="7"/>
        <v>0</v>
      </c>
      <c r="Z15" s="149">
        <f t="shared" si="7"/>
        <v>0</v>
      </c>
      <c r="AA15" s="163"/>
      <c r="AB15" s="163" t="s">
        <v>179</v>
      </c>
      <c r="AC15" s="163">
        <v>3000</v>
      </c>
      <c r="AD15" s="163">
        <f>3000/24</f>
        <v>125</v>
      </c>
      <c r="AE15" s="163">
        <f>3000/24</f>
        <v>125</v>
      </c>
    </row>
    <row r="16" spans="1:34">
      <c r="A16" s="151"/>
      <c r="B16" s="152" t="s">
        <v>732</v>
      </c>
      <c r="C16" s="153">
        <v>37622</v>
      </c>
      <c r="D16" s="149">
        <v>5000</v>
      </c>
      <c r="E16" s="149">
        <v>1500</v>
      </c>
      <c r="F16" s="149">
        <v>750</v>
      </c>
      <c r="G16" s="149"/>
      <c r="H16" s="149">
        <f t="shared" si="1"/>
        <v>7250</v>
      </c>
      <c r="I16" s="549" t="s">
        <v>741</v>
      </c>
      <c r="J16" s="149">
        <v>4750</v>
      </c>
      <c r="K16" s="149">
        <v>1250</v>
      </c>
      <c r="L16" s="554">
        <v>750</v>
      </c>
      <c r="M16" s="149"/>
      <c r="N16" s="149">
        <f t="shared" si="6"/>
        <v>6750</v>
      </c>
      <c r="O16" s="149">
        <f t="shared" si="7"/>
        <v>6750</v>
      </c>
      <c r="P16" s="149">
        <f t="shared" si="7"/>
        <v>6750</v>
      </c>
      <c r="Q16" s="149">
        <f t="shared" si="7"/>
        <v>6750</v>
      </c>
      <c r="R16" s="149">
        <f t="shared" si="7"/>
        <v>6750</v>
      </c>
      <c r="S16" s="149">
        <f t="shared" si="7"/>
        <v>6750</v>
      </c>
      <c r="T16" s="149">
        <f t="shared" si="7"/>
        <v>6750</v>
      </c>
      <c r="U16" s="149">
        <f t="shared" si="7"/>
        <v>6750</v>
      </c>
      <c r="V16" s="149">
        <f t="shared" si="7"/>
        <v>6750</v>
      </c>
      <c r="W16" s="149">
        <f t="shared" si="7"/>
        <v>6750</v>
      </c>
      <c r="X16" s="149">
        <f t="shared" si="7"/>
        <v>6750</v>
      </c>
      <c r="Y16" s="149">
        <f t="shared" si="7"/>
        <v>6750</v>
      </c>
      <c r="Z16" s="149">
        <f t="shared" si="7"/>
        <v>6750</v>
      </c>
      <c r="AA16" s="163"/>
      <c r="AB16" s="163" t="s">
        <v>178</v>
      </c>
      <c r="AC16" s="163">
        <v>2500</v>
      </c>
      <c r="AD16" s="163">
        <f>2500/24</f>
        <v>104.16666666666667</v>
      </c>
      <c r="AE16" s="163">
        <f>2500/24</f>
        <v>104.16666666666667</v>
      </c>
    </row>
    <row r="17" spans="1:31">
      <c r="A17" s="151"/>
      <c r="B17" s="152" t="s">
        <v>163</v>
      </c>
      <c r="C17" s="153">
        <v>36618</v>
      </c>
      <c r="D17" s="149">
        <v>3400</v>
      </c>
      <c r="E17" s="149">
        <v>1000</v>
      </c>
      <c r="F17" s="149"/>
      <c r="G17" s="149"/>
      <c r="H17" s="149">
        <f t="shared" si="1"/>
        <v>4400</v>
      </c>
      <c r="I17" s="549" t="s">
        <v>741</v>
      </c>
      <c r="J17" s="149">
        <v>3600</v>
      </c>
      <c r="K17" s="149">
        <v>1200</v>
      </c>
      <c r="L17" s="554"/>
      <c r="M17" s="149"/>
      <c r="N17" s="149">
        <f t="shared" si="6"/>
        <v>4800</v>
      </c>
      <c r="O17" s="149">
        <f t="shared" si="7"/>
        <v>4800</v>
      </c>
      <c r="P17" s="149">
        <f t="shared" si="7"/>
        <v>4800</v>
      </c>
      <c r="Q17" s="149">
        <f t="shared" si="7"/>
        <v>4800</v>
      </c>
      <c r="R17" s="149">
        <f t="shared" si="7"/>
        <v>4800</v>
      </c>
      <c r="S17" s="149">
        <f t="shared" si="7"/>
        <v>4800</v>
      </c>
      <c r="T17" s="149">
        <f t="shared" si="7"/>
        <v>4800</v>
      </c>
      <c r="U17" s="149">
        <f t="shared" si="7"/>
        <v>4800</v>
      </c>
      <c r="V17" s="149">
        <f t="shared" si="7"/>
        <v>4800</v>
      </c>
      <c r="W17" s="149">
        <f t="shared" si="7"/>
        <v>4800</v>
      </c>
      <c r="X17" s="149">
        <f t="shared" si="7"/>
        <v>4800</v>
      </c>
      <c r="Y17" s="149">
        <f t="shared" si="7"/>
        <v>4800</v>
      </c>
      <c r="Z17" s="149">
        <f t="shared" si="7"/>
        <v>4800</v>
      </c>
      <c r="AA17" s="163"/>
      <c r="AB17" s="163" t="s">
        <v>178</v>
      </c>
      <c r="AC17" s="163">
        <v>2500</v>
      </c>
      <c r="AD17" s="163">
        <f>2500/24</f>
        <v>104.16666666666667</v>
      </c>
      <c r="AE17" s="163">
        <f>2500/24</f>
        <v>104.16666666666667</v>
      </c>
    </row>
    <row r="18" spans="1:31">
      <c r="A18" s="151"/>
      <c r="B18" s="152" t="s">
        <v>733</v>
      </c>
      <c r="C18" s="153">
        <v>36941</v>
      </c>
      <c r="D18" s="149">
        <v>3000</v>
      </c>
      <c r="E18" s="149">
        <v>500</v>
      </c>
      <c r="F18" s="149"/>
      <c r="G18" s="149"/>
      <c r="H18" s="149">
        <f t="shared" si="1"/>
        <v>3500</v>
      </c>
      <c r="I18" s="549" t="s">
        <v>741</v>
      </c>
      <c r="J18" s="149">
        <v>3250</v>
      </c>
      <c r="K18" s="149">
        <v>750</v>
      </c>
      <c r="L18" s="554"/>
      <c r="M18" s="149"/>
      <c r="N18" s="149">
        <f t="shared" si="6"/>
        <v>4000</v>
      </c>
      <c r="O18" s="149">
        <f t="shared" si="7"/>
        <v>4000</v>
      </c>
      <c r="P18" s="149">
        <f t="shared" si="7"/>
        <v>4000</v>
      </c>
      <c r="Q18" s="149">
        <f t="shared" si="7"/>
        <v>4000</v>
      </c>
      <c r="R18" s="149">
        <f t="shared" si="7"/>
        <v>4000</v>
      </c>
      <c r="S18" s="149">
        <f t="shared" si="7"/>
        <v>4000</v>
      </c>
      <c r="T18" s="149">
        <f t="shared" si="7"/>
        <v>4000</v>
      </c>
      <c r="U18" s="149">
        <f t="shared" si="7"/>
        <v>4000</v>
      </c>
      <c r="V18" s="149">
        <f t="shared" si="7"/>
        <v>4000</v>
      </c>
      <c r="W18" s="149">
        <f t="shared" si="7"/>
        <v>4000</v>
      </c>
      <c r="X18" s="149">
        <f t="shared" si="7"/>
        <v>4000</v>
      </c>
      <c r="Y18" s="149">
        <f t="shared" si="7"/>
        <v>4000</v>
      </c>
      <c r="Z18" s="149">
        <f t="shared" si="7"/>
        <v>4000</v>
      </c>
      <c r="AA18" s="163"/>
      <c r="AB18" s="163"/>
      <c r="AC18" s="163"/>
      <c r="AD18" s="163">
        <f>+AC20/24</f>
        <v>104.16666666666667</v>
      </c>
      <c r="AE18" s="163">
        <v>104</v>
      </c>
    </row>
    <row r="19" spans="1:31">
      <c r="A19" s="151"/>
      <c r="B19" s="152" t="s">
        <v>734</v>
      </c>
      <c r="C19" s="153">
        <v>37513</v>
      </c>
      <c r="D19" s="149">
        <v>3000</v>
      </c>
      <c r="E19" s="149">
        <v>1500</v>
      </c>
      <c r="F19" s="149">
        <v>750</v>
      </c>
      <c r="G19" s="149"/>
      <c r="H19" s="149">
        <f t="shared" si="1"/>
        <v>5250</v>
      </c>
      <c r="I19" s="549" t="s">
        <v>742</v>
      </c>
      <c r="J19" s="149">
        <v>3000</v>
      </c>
      <c r="K19" s="149">
        <v>1500</v>
      </c>
      <c r="L19" s="554">
        <v>750</v>
      </c>
      <c r="M19" s="149"/>
      <c r="N19" s="149">
        <f t="shared" si="6"/>
        <v>5250</v>
      </c>
      <c r="O19" s="149">
        <f t="shared" si="7"/>
        <v>5250</v>
      </c>
      <c r="P19" s="149">
        <f t="shared" si="7"/>
        <v>5250</v>
      </c>
      <c r="Q19" s="149">
        <f t="shared" si="7"/>
        <v>5250</v>
      </c>
      <c r="R19" s="149">
        <f t="shared" si="7"/>
        <v>5250</v>
      </c>
      <c r="S19" s="149">
        <f t="shared" si="7"/>
        <v>5250</v>
      </c>
      <c r="T19" s="149">
        <f t="shared" si="7"/>
        <v>5250</v>
      </c>
      <c r="U19" s="149">
        <f t="shared" si="7"/>
        <v>5250</v>
      </c>
      <c r="V19" s="149">
        <f t="shared" si="7"/>
        <v>5250</v>
      </c>
      <c r="W19" s="149">
        <f t="shared" si="7"/>
        <v>5250</v>
      </c>
      <c r="X19" s="149">
        <f t="shared" si="7"/>
        <v>5250</v>
      </c>
      <c r="Y19" s="149">
        <f t="shared" si="7"/>
        <v>5250</v>
      </c>
      <c r="Z19" s="149">
        <f t="shared" si="7"/>
        <v>5250</v>
      </c>
      <c r="AA19" s="163"/>
      <c r="AB19" s="163"/>
      <c r="AC19" s="163"/>
      <c r="AD19" s="163"/>
      <c r="AE19" s="163"/>
    </row>
    <row r="20" spans="1:31">
      <c r="A20" s="151"/>
      <c r="B20" s="152" t="s">
        <v>735</v>
      </c>
      <c r="C20" s="153">
        <v>37507</v>
      </c>
      <c r="D20" s="149">
        <v>2000</v>
      </c>
      <c r="E20" s="149">
        <v>500</v>
      </c>
      <c r="F20" s="149"/>
      <c r="G20" s="149"/>
      <c r="H20" s="149">
        <f t="shared" si="1"/>
        <v>2500</v>
      </c>
      <c r="I20" s="549" t="s">
        <v>740</v>
      </c>
      <c r="J20" s="149">
        <v>2000</v>
      </c>
      <c r="K20" s="149">
        <v>500</v>
      </c>
      <c r="L20" s="554"/>
      <c r="M20" s="149"/>
      <c r="N20" s="149">
        <f t="shared" si="6"/>
        <v>2500</v>
      </c>
      <c r="O20" s="149">
        <f t="shared" si="7"/>
        <v>2500</v>
      </c>
      <c r="P20" s="149">
        <f t="shared" si="7"/>
        <v>2500</v>
      </c>
      <c r="Q20" s="149">
        <f t="shared" si="7"/>
        <v>2500</v>
      </c>
      <c r="R20" s="149">
        <f t="shared" si="7"/>
        <v>2500</v>
      </c>
      <c r="S20" s="149">
        <f t="shared" si="7"/>
        <v>2500</v>
      </c>
      <c r="T20" s="149">
        <f t="shared" si="7"/>
        <v>2500</v>
      </c>
      <c r="U20" s="149">
        <f t="shared" si="7"/>
        <v>2500</v>
      </c>
      <c r="V20" s="149">
        <f t="shared" si="7"/>
        <v>2500</v>
      </c>
      <c r="W20" s="149">
        <f t="shared" si="7"/>
        <v>2500</v>
      </c>
      <c r="X20" s="149">
        <f t="shared" si="7"/>
        <v>2500</v>
      </c>
      <c r="Y20" s="149">
        <f t="shared" si="7"/>
        <v>2500</v>
      </c>
      <c r="Z20" s="149">
        <f t="shared" si="7"/>
        <v>2500</v>
      </c>
      <c r="AA20" s="163"/>
      <c r="AB20" s="163"/>
      <c r="AC20" s="163">
        <v>2500</v>
      </c>
      <c r="AD20" s="163">
        <f>+AC20/24</f>
        <v>104.16666666666667</v>
      </c>
      <c r="AE20" s="163">
        <v>104</v>
      </c>
    </row>
    <row r="21" spans="1:31">
      <c r="A21" s="151"/>
      <c r="B21" s="152" t="s">
        <v>736</v>
      </c>
      <c r="C21" s="153">
        <v>37479</v>
      </c>
      <c r="D21" s="149">
        <v>4000</v>
      </c>
      <c r="E21" s="149">
        <v>1500</v>
      </c>
      <c r="F21" s="149">
        <v>750</v>
      </c>
      <c r="G21" s="149"/>
      <c r="H21" s="149">
        <f t="shared" si="1"/>
        <v>6250</v>
      </c>
      <c r="I21" s="549" t="s">
        <v>740</v>
      </c>
      <c r="J21" s="149">
        <v>4000</v>
      </c>
      <c r="K21" s="149">
        <v>1500</v>
      </c>
      <c r="L21" s="554">
        <v>750</v>
      </c>
      <c r="M21" s="149"/>
      <c r="N21" s="149">
        <f t="shared" si="6"/>
        <v>6250</v>
      </c>
      <c r="O21" s="149">
        <f t="shared" si="7"/>
        <v>6250</v>
      </c>
      <c r="P21" s="149">
        <f t="shared" si="7"/>
        <v>6250</v>
      </c>
      <c r="Q21" s="149">
        <f t="shared" si="7"/>
        <v>6250</v>
      </c>
      <c r="R21" s="149">
        <f t="shared" si="7"/>
        <v>6250</v>
      </c>
      <c r="S21" s="149">
        <f t="shared" si="7"/>
        <v>6250</v>
      </c>
      <c r="T21" s="149">
        <f t="shared" si="7"/>
        <v>6250</v>
      </c>
      <c r="U21" s="149">
        <f t="shared" si="7"/>
        <v>6250</v>
      </c>
      <c r="V21" s="149">
        <f t="shared" si="7"/>
        <v>6250</v>
      </c>
      <c r="W21" s="149">
        <f t="shared" si="7"/>
        <v>6250</v>
      </c>
      <c r="X21" s="149">
        <f t="shared" si="7"/>
        <v>6250</v>
      </c>
      <c r="Y21" s="149">
        <f t="shared" si="7"/>
        <v>6250</v>
      </c>
      <c r="Z21" s="149">
        <f t="shared" si="7"/>
        <v>6250</v>
      </c>
      <c r="AA21" s="163"/>
      <c r="AB21" s="163"/>
      <c r="AC21" s="163">
        <v>2500</v>
      </c>
      <c r="AD21" s="163">
        <f>+AC21/24</f>
        <v>104.16666666666667</v>
      </c>
      <c r="AE21" s="163">
        <v>104</v>
      </c>
    </row>
    <row r="22" spans="1:31">
      <c r="A22" s="151"/>
      <c r="B22" s="152" t="s">
        <v>739</v>
      </c>
      <c r="C22" s="153">
        <v>37622</v>
      </c>
      <c r="D22" s="149"/>
      <c r="E22" s="149"/>
      <c r="F22" s="149"/>
      <c r="G22" s="149"/>
      <c r="H22" s="149">
        <f t="shared" si="1"/>
        <v>0</v>
      </c>
      <c r="I22" s="550">
        <v>37865</v>
      </c>
      <c r="J22" s="149"/>
      <c r="K22" s="149"/>
      <c r="L22" s="554">
        <v>0</v>
      </c>
      <c r="M22" s="149"/>
      <c r="N22" s="149">
        <f t="shared" si="6"/>
        <v>0</v>
      </c>
      <c r="O22" s="149">
        <f>+N22</f>
        <v>0</v>
      </c>
      <c r="P22" s="149">
        <f>+N22</f>
        <v>0</v>
      </c>
      <c r="Q22" s="149">
        <f>+P22</f>
        <v>0</v>
      </c>
      <c r="R22" s="149">
        <f t="shared" ref="R22:Z23" si="8">+P22</f>
        <v>0</v>
      </c>
      <c r="S22" s="149">
        <f t="shared" si="8"/>
        <v>0</v>
      </c>
      <c r="T22" s="149">
        <f t="shared" si="8"/>
        <v>0</v>
      </c>
      <c r="U22" s="149"/>
      <c r="V22" s="149"/>
      <c r="W22" s="149">
        <v>12000</v>
      </c>
      <c r="X22" s="149">
        <v>12000</v>
      </c>
      <c r="Y22" s="149">
        <f t="shared" si="8"/>
        <v>12000</v>
      </c>
      <c r="Z22" s="149">
        <f t="shared" si="8"/>
        <v>12000</v>
      </c>
      <c r="AA22" s="163"/>
      <c r="AB22" s="163"/>
      <c r="AC22" s="163">
        <v>0</v>
      </c>
      <c r="AD22" s="56"/>
      <c r="AE22" s="163">
        <f>+AC22/24</f>
        <v>0</v>
      </c>
    </row>
    <row r="23" spans="1:31">
      <c r="A23" s="151"/>
      <c r="B23" s="152" t="s">
        <v>804</v>
      </c>
      <c r="C23" s="153"/>
      <c r="D23" s="149"/>
      <c r="E23" s="149"/>
      <c r="F23" s="149"/>
      <c r="G23" s="149"/>
      <c r="H23" s="149"/>
      <c r="I23" s="549"/>
      <c r="J23" s="149">
        <v>4500</v>
      </c>
      <c r="K23" s="149">
        <v>1750</v>
      </c>
      <c r="L23" s="554">
        <v>750</v>
      </c>
      <c r="M23" s="149"/>
      <c r="N23" s="149">
        <f t="shared" si="6"/>
        <v>7000</v>
      </c>
      <c r="O23" s="149">
        <v>7000</v>
      </c>
      <c r="P23" s="149">
        <f>+N23</f>
        <v>7000</v>
      </c>
      <c r="Q23" s="149">
        <f>+P23</f>
        <v>7000</v>
      </c>
      <c r="R23" s="149">
        <f t="shared" si="8"/>
        <v>7000</v>
      </c>
      <c r="S23" s="149">
        <f t="shared" si="8"/>
        <v>7000</v>
      </c>
      <c r="T23" s="149">
        <f t="shared" si="8"/>
        <v>7000</v>
      </c>
      <c r="U23" s="149">
        <f t="shared" si="8"/>
        <v>7000</v>
      </c>
      <c r="V23" s="149">
        <v>7000</v>
      </c>
      <c r="W23" s="149">
        <f t="shared" si="8"/>
        <v>7000</v>
      </c>
      <c r="X23" s="149">
        <f t="shared" si="8"/>
        <v>7000</v>
      </c>
      <c r="Y23" s="149">
        <f t="shared" si="8"/>
        <v>7000</v>
      </c>
      <c r="Z23" s="149">
        <f t="shared" si="8"/>
        <v>7000</v>
      </c>
      <c r="AA23" s="163"/>
      <c r="AB23" s="163"/>
      <c r="AC23" s="163"/>
      <c r="AD23" s="56"/>
      <c r="AE23" s="56">
        <f>+AC23/24</f>
        <v>0</v>
      </c>
    </row>
    <row r="24" spans="1:31">
      <c r="A24" s="151"/>
      <c r="B24" s="152"/>
      <c r="C24" s="153"/>
      <c r="D24" s="149"/>
      <c r="E24" s="149"/>
      <c r="F24" s="149"/>
      <c r="G24" s="149"/>
      <c r="H24" s="149"/>
      <c r="I24" s="551"/>
      <c r="J24" s="149"/>
      <c r="K24" s="149"/>
      <c r="L24" s="554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63"/>
      <c r="AB24" s="163"/>
      <c r="AC24" s="163"/>
    </row>
    <row r="25" spans="1:31">
      <c r="A25" s="151"/>
      <c r="B25" s="147" t="s">
        <v>168</v>
      </c>
      <c r="C25" s="153"/>
      <c r="D25" s="149"/>
      <c r="E25" s="149"/>
      <c r="F25" s="149"/>
      <c r="G25" s="149"/>
      <c r="H25" s="149"/>
      <c r="I25" s="551"/>
      <c r="J25" s="149"/>
      <c r="K25" s="149"/>
      <c r="L25" s="554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63"/>
      <c r="AB25" s="163"/>
      <c r="AC25" s="163"/>
    </row>
    <row r="26" spans="1:31">
      <c r="A26" s="151"/>
      <c r="B26" s="147"/>
      <c r="C26" s="153"/>
      <c r="D26" s="149"/>
      <c r="E26" s="149"/>
      <c r="F26" s="149"/>
      <c r="G26" s="149"/>
      <c r="H26" s="149"/>
      <c r="I26" s="551"/>
      <c r="J26" s="149"/>
      <c r="K26" s="149"/>
      <c r="L26" s="554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63"/>
      <c r="AB26" s="163"/>
      <c r="AC26" s="163"/>
    </row>
    <row r="27" spans="1:31">
      <c r="A27" s="151"/>
      <c r="B27" s="152" t="s">
        <v>161</v>
      </c>
      <c r="C27" s="153">
        <v>36540</v>
      </c>
      <c r="D27" s="149">
        <v>6000</v>
      </c>
      <c r="E27" s="149">
        <v>2000</v>
      </c>
      <c r="F27" s="149"/>
      <c r="G27" s="149"/>
      <c r="H27" s="149">
        <f t="shared" si="1"/>
        <v>8000</v>
      </c>
      <c r="I27" s="549" t="s">
        <v>741</v>
      </c>
      <c r="J27" s="149">
        <v>6250</v>
      </c>
      <c r="K27" s="149">
        <v>2250</v>
      </c>
      <c r="L27" s="554"/>
      <c r="M27" s="149"/>
      <c r="N27" s="149">
        <f t="shared" ref="N27:N35" si="9">SUM(J27:M27)</f>
        <v>8500</v>
      </c>
      <c r="O27" s="149">
        <f t="shared" ref="O27:Z35" si="10">N27</f>
        <v>8500</v>
      </c>
      <c r="P27" s="149">
        <f t="shared" si="10"/>
        <v>8500</v>
      </c>
      <c r="Q27" s="149">
        <f t="shared" si="10"/>
        <v>8500</v>
      </c>
      <c r="R27" s="149">
        <f t="shared" si="10"/>
        <v>8500</v>
      </c>
      <c r="S27" s="149">
        <f t="shared" si="10"/>
        <v>8500</v>
      </c>
      <c r="T27" s="149">
        <f t="shared" si="10"/>
        <v>8500</v>
      </c>
      <c r="U27" s="149">
        <f t="shared" si="10"/>
        <v>8500</v>
      </c>
      <c r="V27" s="149">
        <f t="shared" si="10"/>
        <v>8500</v>
      </c>
      <c r="W27" s="149">
        <f t="shared" si="10"/>
        <v>8500</v>
      </c>
      <c r="X27" s="149">
        <f t="shared" si="10"/>
        <v>8500</v>
      </c>
      <c r="Y27" s="149">
        <f t="shared" si="10"/>
        <v>8500</v>
      </c>
      <c r="Z27" s="149">
        <f t="shared" si="10"/>
        <v>8500</v>
      </c>
      <c r="AA27" s="163"/>
      <c r="AB27" s="163" t="s">
        <v>178</v>
      </c>
      <c r="AC27" s="163">
        <v>2500</v>
      </c>
      <c r="AD27" s="163">
        <f t="shared" ref="AD27:AD33" si="11">AC27/24</f>
        <v>104.16666666666667</v>
      </c>
      <c r="AE27" s="163">
        <v>104</v>
      </c>
    </row>
    <row r="28" spans="1:31">
      <c r="A28" s="151"/>
      <c r="B28" s="152" t="s">
        <v>155</v>
      </c>
      <c r="C28" s="153">
        <v>36076</v>
      </c>
      <c r="D28" s="149">
        <v>6500</v>
      </c>
      <c r="E28" s="149">
        <v>2000</v>
      </c>
      <c r="F28" s="149"/>
      <c r="G28" s="149"/>
      <c r="H28" s="149">
        <f t="shared" si="1"/>
        <v>8500</v>
      </c>
      <c r="I28" s="549" t="s">
        <v>741</v>
      </c>
      <c r="J28" s="149">
        <v>6750</v>
      </c>
      <c r="K28" s="149">
        <v>2250</v>
      </c>
      <c r="L28" s="554"/>
      <c r="M28" s="149"/>
      <c r="N28" s="149">
        <f t="shared" si="9"/>
        <v>9000</v>
      </c>
      <c r="O28" s="149">
        <f t="shared" si="10"/>
        <v>9000</v>
      </c>
      <c r="P28" s="149">
        <f t="shared" si="10"/>
        <v>9000</v>
      </c>
      <c r="Q28" s="149">
        <f t="shared" si="10"/>
        <v>9000</v>
      </c>
      <c r="R28" s="149">
        <f t="shared" si="10"/>
        <v>9000</v>
      </c>
      <c r="S28" s="149">
        <f t="shared" si="10"/>
        <v>9000</v>
      </c>
      <c r="T28" s="149">
        <f t="shared" si="10"/>
        <v>9000</v>
      </c>
      <c r="U28" s="149">
        <f t="shared" si="10"/>
        <v>9000</v>
      </c>
      <c r="V28" s="149">
        <f t="shared" si="10"/>
        <v>9000</v>
      </c>
      <c r="W28" s="149">
        <f t="shared" si="10"/>
        <v>9000</v>
      </c>
      <c r="X28" s="149">
        <f t="shared" si="10"/>
        <v>9000</v>
      </c>
      <c r="Y28" s="149">
        <f t="shared" si="10"/>
        <v>9000</v>
      </c>
      <c r="Z28" s="149">
        <f t="shared" si="10"/>
        <v>9000</v>
      </c>
      <c r="AA28" s="163"/>
      <c r="AB28" s="163" t="s">
        <v>181</v>
      </c>
      <c r="AC28" s="163">
        <v>2500</v>
      </c>
      <c r="AD28" s="163">
        <f t="shared" si="11"/>
        <v>104.16666666666667</v>
      </c>
      <c r="AE28" s="163">
        <v>104</v>
      </c>
    </row>
    <row r="29" spans="1:31">
      <c r="A29" s="151"/>
      <c r="B29" s="152" t="s">
        <v>575</v>
      </c>
      <c r="C29" s="153">
        <v>37143</v>
      </c>
      <c r="D29" s="149">
        <v>2500</v>
      </c>
      <c r="E29" s="149">
        <v>1000</v>
      </c>
      <c r="F29" s="149"/>
      <c r="G29" s="149"/>
      <c r="H29" s="149">
        <f t="shared" si="1"/>
        <v>3500</v>
      </c>
      <c r="I29" s="549" t="s">
        <v>741</v>
      </c>
      <c r="J29" s="149">
        <v>2750</v>
      </c>
      <c r="K29" s="149">
        <v>1250</v>
      </c>
      <c r="L29" s="554"/>
      <c r="M29" s="149"/>
      <c r="N29" s="149">
        <f t="shared" si="9"/>
        <v>4000</v>
      </c>
      <c r="O29" s="149">
        <f t="shared" si="10"/>
        <v>4000</v>
      </c>
      <c r="P29" s="149">
        <f t="shared" si="10"/>
        <v>4000</v>
      </c>
      <c r="Q29" s="149">
        <f t="shared" si="10"/>
        <v>4000</v>
      </c>
      <c r="R29" s="149">
        <f t="shared" si="10"/>
        <v>4000</v>
      </c>
      <c r="S29" s="149">
        <f t="shared" si="10"/>
        <v>4000</v>
      </c>
      <c r="T29" s="149">
        <f t="shared" si="10"/>
        <v>4000</v>
      </c>
      <c r="U29" s="149">
        <f t="shared" si="10"/>
        <v>4000</v>
      </c>
      <c r="V29" s="149">
        <f t="shared" si="10"/>
        <v>4000</v>
      </c>
      <c r="W29" s="149">
        <f t="shared" si="10"/>
        <v>4000</v>
      </c>
      <c r="X29" s="149">
        <f t="shared" si="10"/>
        <v>4000</v>
      </c>
      <c r="Y29" s="149">
        <f t="shared" si="10"/>
        <v>4000</v>
      </c>
      <c r="Z29" s="149">
        <f t="shared" si="10"/>
        <v>4000</v>
      </c>
      <c r="AA29" s="163"/>
      <c r="AB29" s="163" t="s">
        <v>182</v>
      </c>
      <c r="AC29" s="163">
        <v>2500</v>
      </c>
      <c r="AD29" s="163">
        <f t="shared" si="11"/>
        <v>104.16666666666667</v>
      </c>
      <c r="AE29" s="163">
        <v>104</v>
      </c>
    </row>
    <row r="30" spans="1:31">
      <c r="A30" s="151"/>
      <c r="B30" s="152" t="s">
        <v>159</v>
      </c>
      <c r="C30" s="153">
        <v>36417</v>
      </c>
      <c r="D30" s="149">
        <v>4000</v>
      </c>
      <c r="E30" s="149">
        <v>1500</v>
      </c>
      <c r="F30" s="149"/>
      <c r="G30" s="149"/>
      <c r="H30" s="149">
        <f t="shared" si="1"/>
        <v>5500</v>
      </c>
      <c r="I30" s="549" t="s">
        <v>741</v>
      </c>
      <c r="J30" s="149">
        <v>4375</v>
      </c>
      <c r="K30" s="149">
        <v>1875</v>
      </c>
      <c r="L30" s="554"/>
      <c r="M30" s="149"/>
      <c r="N30" s="149">
        <f t="shared" si="9"/>
        <v>6250</v>
      </c>
      <c r="O30" s="149">
        <f t="shared" si="10"/>
        <v>6250</v>
      </c>
      <c r="P30" s="149">
        <f t="shared" si="10"/>
        <v>6250</v>
      </c>
      <c r="Q30" s="149">
        <f t="shared" si="10"/>
        <v>6250</v>
      </c>
      <c r="R30" s="149">
        <f t="shared" si="10"/>
        <v>6250</v>
      </c>
      <c r="S30" s="149">
        <f t="shared" si="10"/>
        <v>6250</v>
      </c>
      <c r="T30" s="149">
        <f t="shared" si="10"/>
        <v>6250</v>
      </c>
      <c r="U30" s="149">
        <f t="shared" si="10"/>
        <v>6250</v>
      </c>
      <c r="V30" s="149">
        <f t="shared" si="10"/>
        <v>6250</v>
      </c>
      <c r="W30" s="149">
        <f t="shared" si="10"/>
        <v>6250</v>
      </c>
      <c r="X30" s="149">
        <f t="shared" si="10"/>
        <v>6250</v>
      </c>
      <c r="Y30" s="149">
        <f t="shared" si="10"/>
        <v>6250</v>
      </c>
      <c r="Z30" s="149">
        <f t="shared" si="10"/>
        <v>6250</v>
      </c>
      <c r="AA30" s="163"/>
      <c r="AB30" s="163" t="s">
        <v>180</v>
      </c>
      <c r="AC30" s="163">
        <v>2500</v>
      </c>
      <c r="AD30" s="163">
        <f t="shared" si="11"/>
        <v>104.16666666666667</v>
      </c>
      <c r="AE30" s="163">
        <v>104</v>
      </c>
    </row>
    <row r="31" spans="1:31">
      <c r="A31" s="151"/>
      <c r="B31" s="152" t="s">
        <v>160</v>
      </c>
      <c r="C31" s="153">
        <v>36429</v>
      </c>
      <c r="D31" s="149">
        <v>5000</v>
      </c>
      <c r="E31" s="149">
        <v>1500</v>
      </c>
      <c r="F31" s="149"/>
      <c r="G31" s="149"/>
      <c r="H31" s="149">
        <f t="shared" si="1"/>
        <v>6500</v>
      </c>
      <c r="I31" s="549" t="s">
        <v>741</v>
      </c>
      <c r="J31" s="149">
        <v>5500</v>
      </c>
      <c r="K31" s="149">
        <v>2000</v>
      </c>
      <c r="L31" s="554"/>
      <c r="M31" s="149"/>
      <c r="N31" s="149">
        <f t="shared" si="9"/>
        <v>7500</v>
      </c>
      <c r="O31" s="149">
        <f t="shared" si="10"/>
        <v>7500</v>
      </c>
      <c r="P31" s="149">
        <f t="shared" si="10"/>
        <v>7500</v>
      </c>
      <c r="Q31" s="149">
        <f t="shared" si="10"/>
        <v>7500</v>
      </c>
      <c r="R31" s="149">
        <f t="shared" si="10"/>
        <v>7500</v>
      </c>
      <c r="S31" s="149">
        <f t="shared" si="10"/>
        <v>7500</v>
      </c>
      <c r="T31" s="149">
        <f t="shared" si="10"/>
        <v>7500</v>
      </c>
      <c r="U31" s="149">
        <f t="shared" si="10"/>
        <v>7500</v>
      </c>
      <c r="V31" s="149">
        <f t="shared" si="10"/>
        <v>7500</v>
      </c>
      <c r="W31" s="149">
        <f t="shared" si="10"/>
        <v>7500</v>
      </c>
      <c r="X31" s="149">
        <f t="shared" si="10"/>
        <v>7500</v>
      </c>
      <c r="Y31" s="149">
        <f t="shared" si="10"/>
        <v>7500</v>
      </c>
      <c r="Z31" s="149">
        <f t="shared" si="10"/>
        <v>7500</v>
      </c>
      <c r="AA31" s="163"/>
      <c r="AB31" s="163" t="s">
        <v>181</v>
      </c>
      <c r="AC31" s="163">
        <v>2500</v>
      </c>
      <c r="AD31" s="163">
        <f t="shared" si="11"/>
        <v>104.16666666666667</v>
      </c>
      <c r="AE31" s="163">
        <v>104</v>
      </c>
    </row>
    <row r="32" spans="1:31">
      <c r="A32" s="151"/>
      <c r="B32" s="152" t="s">
        <v>165</v>
      </c>
      <c r="C32" s="153">
        <v>36808</v>
      </c>
      <c r="D32" s="149">
        <v>6000</v>
      </c>
      <c r="E32" s="149">
        <v>1500</v>
      </c>
      <c r="F32" s="149"/>
      <c r="G32" s="149"/>
      <c r="H32" s="149">
        <f t="shared" si="1"/>
        <v>7500</v>
      </c>
      <c r="I32" s="549" t="s">
        <v>741</v>
      </c>
      <c r="J32" s="149">
        <v>6375</v>
      </c>
      <c r="K32" s="149">
        <v>1875</v>
      </c>
      <c r="L32" s="554"/>
      <c r="M32" s="149"/>
      <c r="N32" s="149">
        <f t="shared" si="9"/>
        <v>8250</v>
      </c>
      <c r="O32" s="149">
        <f t="shared" si="10"/>
        <v>8250</v>
      </c>
      <c r="P32" s="149">
        <f t="shared" si="10"/>
        <v>8250</v>
      </c>
      <c r="Q32" s="149">
        <f t="shared" si="10"/>
        <v>8250</v>
      </c>
      <c r="R32" s="149">
        <f t="shared" si="10"/>
        <v>8250</v>
      </c>
      <c r="S32" s="149">
        <f t="shared" si="10"/>
        <v>8250</v>
      </c>
      <c r="T32" s="149">
        <f t="shared" si="10"/>
        <v>8250</v>
      </c>
      <c r="U32" s="149">
        <f t="shared" si="10"/>
        <v>8250</v>
      </c>
      <c r="V32" s="149">
        <f t="shared" si="10"/>
        <v>8250</v>
      </c>
      <c r="W32" s="149">
        <f t="shared" si="10"/>
        <v>8250</v>
      </c>
      <c r="X32" s="149">
        <f t="shared" si="10"/>
        <v>8250</v>
      </c>
      <c r="Y32" s="149">
        <f t="shared" si="10"/>
        <v>8250</v>
      </c>
      <c r="Z32" s="149">
        <f t="shared" si="10"/>
        <v>8250</v>
      </c>
      <c r="AA32" s="163"/>
      <c r="AB32" s="163" t="s">
        <v>181</v>
      </c>
      <c r="AC32" s="163">
        <v>2500</v>
      </c>
      <c r="AD32" s="163">
        <f t="shared" si="11"/>
        <v>104.16666666666667</v>
      </c>
      <c r="AE32" s="163">
        <v>104</v>
      </c>
    </row>
    <row r="33" spans="1:34">
      <c r="A33" s="151"/>
      <c r="B33" s="152" t="s">
        <v>737</v>
      </c>
      <c r="C33" s="153">
        <v>37408</v>
      </c>
      <c r="D33" s="149">
        <v>3500</v>
      </c>
      <c r="E33" s="149">
        <v>1500</v>
      </c>
      <c r="F33" s="149"/>
      <c r="G33" s="149"/>
      <c r="H33" s="149">
        <f t="shared" si="1"/>
        <v>5000</v>
      </c>
      <c r="I33" s="549" t="s">
        <v>741</v>
      </c>
      <c r="J33" s="149">
        <v>3750</v>
      </c>
      <c r="K33" s="149">
        <v>1750</v>
      </c>
      <c r="L33" s="554"/>
      <c r="M33" s="149"/>
      <c r="N33" s="149">
        <f t="shared" si="9"/>
        <v>5500</v>
      </c>
      <c r="O33" s="149">
        <f t="shared" si="10"/>
        <v>5500</v>
      </c>
      <c r="P33" s="149">
        <f t="shared" si="10"/>
        <v>5500</v>
      </c>
      <c r="Q33" s="149">
        <f t="shared" si="10"/>
        <v>5500</v>
      </c>
      <c r="R33" s="149">
        <f t="shared" si="10"/>
        <v>5500</v>
      </c>
      <c r="S33" s="149">
        <f t="shared" si="10"/>
        <v>5500</v>
      </c>
      <c r="T33" s="149">
        <f t="shared" si="10"/>
        <v>5500</v>
      </c>
      <c r="U33" s="149">
        <f t="shared" si="10"/>
        <v>5500</v>
      </c>
      <c r="V33" s="149">
        <f t="shared" si="10"/>
        <v>5500</v>
      </c>
      <c r="W33" s="149">
        <f t="shared" si="10"/>
        <v>5500</v>
      </c>
      <c r="X33" s="149">
        <f t="shared" si="10"/>
        <v>5500</v>
      </c>
      <c r="Y33" s="149">
        <f t="shared" si="10"/>
        <v>5500</v>
      </c>
      <c r="Z33" s="149">
        <f t="shared" si="10"/>
        <v>5500</v>
      </c>
      <c r="AA33" s="163"/>
      <c r="AB33" s="163" t="s">
        <v>183</v>
      </c>
      <c r="AC33" s="163">
        <v>2500</v>
      </c>
      <c r="AD33" s="163">
        <f t="shared" si="11"/>
        <v>104.16666666666667</v>
      </c>
      <c r="AE33" s="163">
        <v>104</v>
      </c>
    </row>
    <row r="34" spans="1:34">
      <c r="A34" s="151"/>
      <c r="B34" s="152" t="s">
        <v>738</v>
      </c>
      <c r="C34" s="153">
        <v>37394</v>
      </c>
      <c r="D34" s="149">
        <v>5500</v>
      </c>
      <c r="E34" s="149">
        <v>2000</v>
      </c>
      <c r="F34" s="149"/>
      <c r="G34" s="149"/>
      <c r="H34" s="149">
        <f t="shared" si="1"/>
        <v>7500</v>
      </c>
      <c r="I34" s="549"/>
      <c r="J34" s="149">
        <v>5500</v>
      </c>
      <c r="K34" s="149">
        <v>2000</v>
      </c>
      <c r="L34" s="554"/>
      <c r="M34" s="149"/>
      <c r="N34" s="149">
        <f t="shared" si="9"/>
        <v>7500</v>
      </c>
      <c r="O34" s="163">
        <f>+N34</f>
        <v>7500</v>
      </c>
      <c r="P34" s="163">
        <f>+N34</f>
        <v>7500</v>
      </c>
      <c r="Q34" s="163">
        <f t="shared" si="10"/>
        <v>7500</v>
      </c>
      <c r="R34" s="163">
        <f t="shared" si="10"/>
        <v>7500</v>
      </c>
      <c r="S34" s="163">
        <f t="shared" si="10"/>
        <v>7500</v>
      </c>
      <c r="T34" s="163">
        <f t="shared" si="10"/>
        <v>7500</v>
      </c>
      <c r="U34" s="163">
        <f t="shared" si="10"/>
        <v>7500</v>
      </c>
      <c r="V34" s="163">
        <f t="shared" si="10"/>
        <v>7500</v>
      </c>
      <c r="W34" s="163">
        <f t="shared" si="10"/>
        <v>7500</v>
      </c>
      <c r="X34" s="163">
        <f t="shared" si="10"/>
        <v>7500</v>
      </c>
      <c r="Y34" s="163">
        <f t="shared" si="10"/>
        <v>7500</v>
      </c>
      <c r="Z34" s="163">
        <f t="shared" si="10"/>
        <v>7500</v>
      </c>
      <c r="AA34" s="163"/>
      <c r="AB34" s="163"/>
      <c r="AC34" s="163">
        <v>2500</v>
      </c>
      <c r="AD34" s="163"/>
      <c r="AE34" s="163">
        <v>104</v>
      </c>
    </row>
    <row r="35" spans="1:34">
      <c r="A35" s="151"/>
      <c r="B35" s="152"/>
      <c r="C35" s="153"/>
      <c r="D35" s="149"/>
      <c r="E35" s="149"/>
      <c r="F35" s="149"/>
      <c r="G35" s="149"/>
      <c r="H35" s="149"/>
      <c r="I35" s="549"/>
      <c r="J35" s="149"/>
      <c r="K35" s="149"/>
      <c r="L35" s="554"/>
      <c r="M35" s="149"/>
      <c r="N35" s="149">
        <f t="shared" si="9"/>
        <v>0</v>
      </c>
      <c r="O35" s="163"/>
      <c r="P35" s="163"/>
      <c r="Q35" s="163"/>
      <c r="R35" s="163">
        <f>+N35</f>
        <v>0</v>
      </c>
      <c r="S35" s="163">
        <f t="shared" si="10"/>
        <v>0</v>
      </c>
      <c r="T35" s="163">
        <f t="shared" si="10"/>
        <v>0</v>
      </c>
      <c r="U35" s="163">
        <f t="shared" si="10"/>
        <v>0</v>
      </c>
      <c r="V35" s="163">
        <f t="shared" si="10"/>
        <v>0</v>
      </c>
      <c r="W35" s="163">
        <f t="shared" si="10"/>
        <v>0</v>
      </c>
      <c r="X35" s="163">
        <f t="shared" si="10"/>
        <v>0</v>
      </c>
      <c r="Y35" s="163">
        <f t="shared" si="10"/>
        <v>0</v>
      </c>
      <c r="Z35" s="163">
        <f t="shared" si="10"/>
        <v>0</v>
      </c>
      <c r="AA35" s="163"/>
      <c r="AB35" s="163"/>
      <c r="AC35" s="163">
        <v>2500</v>
      </c>
      <c r="AD35" s="163"/>
      <c r="AG35">
        <v>104</v>
      </c>
    </row>
    <row r="36" spans="1:34">
      <c r="A36" s="151"/>
      <c r="B36" s="152" t="s">
        <v>153</v>
      </c>
      <c r="C36" s="152"/>
      <c r="D36" s="149">
        <f>11000+1000+1500</f>
        <v>13500</v>
      </c>
      <c r="E36" s="149"/>
      <c r="F36" s="149"/>
      <c r="G36" s="149"/>
      <c r="H36" s="149">
        <v>13500</v>
      </c>
      <c r="I36" s="548"/>
      <c r="J36" s="37">
        <v>13500</v>
      </c>
      <c r="K36" s="37"/>
      <c r="L36" s="37"/>
      <c r="M36" s="41"/>
      <c r="N36" s="37">
        <v>13500</v>
      </c>
      <c r="O36" s="163">
        <v>13500</v>
      </c>
      <c r="P36" s="163">
        <v>13500</v>
      </c>
      <c r="Q36" s="163">
        <v>13500</v>
      </c>
      <c r="R36" s="163">
        <v>13500</v>
      </c>
      <c r="S36" s="163">
        <v>13500</v>
      </c>
      <c r="T36" s="163">
        <v>13500</v>
      </c>
      <c r="U36" s="163">
        <v>13500</v>
      </c>
      <c r="V36" s="163">
        <v>13500</v>
      </c>
      <c r="W36" s="163">
        <v>13500</v>
      </c>
      <c r="X36" s="163">
        <v>13500</v>
      </c>
      <c r="Y36" s="163">
        <v>13500</v>
      </c>
      <c r="Z36" s="163">
        <v>13500</v>
      </c>
      <c r="AA36" s="163"/>
      <c r="AB36" s="163"/>
      <c r="AC36" s="163"/>
    </row>
    <row r="37" spans="1:34" ht="13.5" thickBot="1">
      <c r="A37" s="154"/>
      <c r="B37" s="155"/>
      <c r="C37" s="155"/>
      <c r="D37" s="156">
        <f>SUM(D7:D36)</f>
        <v>88950</v>
      </c>
      <c r="E37" s="156">
        <f>SUM(E7:E36)</f>
        <v>25200</v>
      </c>
      <c r="F37" s="156">
        <f>SUM(F7:F36)</f>
        <v>2750</v>
      </c>
      <c r="G37" s="156">
        <f>SUM(G7:G36)</f>
        <v>0</v>
      </c>
      <c r="H37" s="156">
        <f>SUM(H7:H36)</f>
        <v>116900</v>
      </c>
      <c r="I37" s="552"/>
      <c r="J37" s="156">
        <f>SUM(J7:J36)</f>
        <v>94550</v>
      </c>
      <c r="K37" s="156">
        <f>SUM(K5:K35)</f>
        <v>29450</v>
      </c>
      <c r="L37" s="156">
        <f>SUM(L5:L35)</f>
        <v>3500</v>
      </c>
      <c r="M37" s="156">
        <f>SUM(M5:M35)</f>
        <v>0</v>
      </c>
      <c r="N37" s="156">
        <f>SUM(N7:N36)</f>
        <v>127500</v>
      </c>
      <c r="O37" s="156">
        <f t="shared" ref="O37:Z37" si="12">SUM(O6:O36)</f>
        <v>127500</v>
      </c>
      <c r="P37" s="156">
        <f t="shared" si="12"/>
        <v>127500</v>
      </c>
      <c r="Q37" s="156">
        <f t="shared" si="12"/>
        <v>127500</v>
      </c>
      <c r="R37" s="156">
        <f t="shared" si="12"/>
        <v>127500</v>
      </c>
      <c r="S37" s="156">
        <f t="shared" si="12"/>
        <v>127500</v>
      </c>
      <c r="T37" s="156">
        <f t="shared" si="12"/>
        <v>127500</v>
      </c>
      <c r="U37" s="156">
        <f t="shared" si="12"/>
        <v>127500</v>
      </c>
      <c r="V37" s="156">
        <f t="shared" si="12"/>
        <v>127500</v>
      </c>
      <c r="W37" s="156">
        <f t="shared" si="12"/>
        <v>139500</v>
      </c>
      <c r="X37" s="156">
        <f t="shared" si="12"/>
        <v>139500</v>
      </c>
      <c r="Y37" s="156">
        <f t="shared" si="12"/>
        <v>139500</v>
      </c>
      <c r="Z37" s="156">
        <f t="shared" si="12"/>
        <v>139500</v>
      </c>
      <c r="AA37" s="164"/>
      <c r="AB37" s="164"/>
      <c r="AC37" s="164">
        <f>SUM(AC5:AC35)</f>
        <v>45500</v>
      </c>
      <c r="AD37" s="164">
        <f>SUM(AD5:AD35)</f>
        <v>1791.5000000000005</v>
      </c>
      <c r="AE37" s="164"/>
      <c r="AF37" s="164">
        <f>SUM(AF5:AF35)</f>
        <v>0</v>
      </c>
      <c r="AG37" s="164">
        <f>SUM(AG5:AG35)</f>
        <v>104</v>
      </c>
      <c r="AH37" s="164">
        <f>SUM(AH5:AH35)</f>
        <v>0</v>
      </c>
    </row>
    <row r="38" spans="1:34" ht="13.5" thickTop="1"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</row>
    <row r="39" spans="1:34"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</row>
    <row r="40" spans="1:34">
      <c r="M40" t="s">
        <v>150</v>
      </c>
      <c r="O40" s="163">
        <f t="shared" ref="O40:V40" si="13">O37-O41</f>
        <v>98050</v>
      </c>
      <c r="P40" s="163">
        <f t="shared" si="13"/>
        <v>98050</v>
      </c>
      <c r="Q40" s="163">
        <f t="shared" si="13"/>
        <v>98050</v>
      </c>
      <c r="R40" s="163">
        <f t="shared" si="13"/>
        <v>98050</v>
      </c>
      <c r="S40" s="163">
        <f t="shared" si="13"/>
        <v>98050</v>
      </c>
      <c r="T40" s="163">
        <f t="shared" si="13"/>
        <v>98050</v>
      </c>
      <c r="U40" s="163">
        <f t="shared" si="13"/>
        <v>98050</v>
      </c>
      <c r="V40" s="163">
        <f t="shared" si="13"/>
        <v>98050</v>
      </c>
      <c r="W40" s="163">
        <f>W37-W41+500</f>
        <v>110550</v>
      </c>
      <c r="X40" s="163">
        <f>X37-X41+500</f>
        <v>110550</v>
      </c>
      <c r="Y40" s="163">
        <f>Y37-Y41+500</f>
        <v>110550</v>
      </c>
      <c r="Z40" s="163">
        <f>Z37-Z41+500</f>
        <v>110550</v>
      </c>
      <c r="AA40" s="163"/>
      <c r="AB40" s="163"/>
      <c r="AC40" s="163"/>
    </row>
    <row r="41" spans="1:34">
      <c r="M41" t="s">
        <v>151</v>
      </c>
      <c r="O41" s="163">
        <f>+K37</f>
        <v>29450</v>
      </c>
      <c r="P41" s="163">
        <f>+K37</f>
        <v>29450</v>
      </c>
      <c r="Q41" s="163">
        <f>+K37</f>
        <v>29450</v>
      </c>
      <c r="R41" s="163">
        <f t="shared" ref="R41:Y41" si="14">+Q41</f>
        <v>29450</v>
      </c>
      <c r="S41" s="163">
        <f t="shared" si="14"/>
        <v>29450</v>
      </c>
      <c r="T41" s="163">
        <f t="shared" si="14"/>
        <v>29450</v>
      </c>
      <c r="U41" s="163">
        <f t="shared" si="14"/>
        <v>29450</v>
      </c>
      <c r="V41" s="163">
        <f t="shared" si="14"/>
        <v>29450</v>
      </c>
      <c r="W41" s="163">
        <f t="shared" si="14"/>
        <v>29450</v>
      </c>
      <c r="X41" s="163">
        <f t="shared" si="14"/>
        <v>29450</v>
      </c>
      <c r="Y41" s="163">
        <f t="shared" si="14"/>
        <v>29450</v>
      </c>
      <c r="Z41" s="163">
        <v>29450</v>
      </c>
      <c r="AA41" s="163"/>
      <c r="AB41" s="163"/>
      <c r="AC41" s="163"/>
    </row>
    <row r="42" spans="1:34">
      <c r="M42" t="s">
        <v>53</v>
      </c>
      <c r="O42" s="163">
        <f t="shared" ref="O42:Z42" si="15">(O40+O41-O6)/12</f>
        <v>10625</v>
      </c>
      <c r="P42" s="163">
        <f t="shared" si="15"/>
        <v>10625</v>
      </c>
      <c r="Q42" s="163">
        <f t="shared" si="15"/>
        <v>10625</v>
      </c>
      <c r="R42" s="163">
        <f t="shared" si="15"/>
        <v>10625</v>
      </c>
      <c r="S42" s="163">
        <f t="shared" si="15"/>
        <v>10625</v>
      </c>
      <c r="T42" s="163">
        <f t="shared" si="15"/>
        <v>10625</v>
      </c>
      <c r="U42" s="163">
        <f t="shared" si="15"/>
        <v>10625</v>
      </c>
      <c r="V42" s="163">
        <f t="shared" si="15"/>
        <v>10625</v>
      </c>
      <c r="W42" s="163">
        <f t="shared" si="15"/>
        <v>11666.666666666666</v>
      </c>
      <c r="X42" s="163">
        <f t="shared" si="15"/>
        <v>11666.666666666666</v>
      </c>
      <c r="Y42" s="163">
        <f t="shared" si="15"/>
        <v>11666.666666666666</v>
      </c>
      <c r="Z42" s="163">
        <f t="shared" si="15"/>
        <v>11666.666666666666</v>
      </c>
      <c r="AA42" s="163"/>
      <c r="AB42" s="163"/>
      <c r="AC42" s="163"/>
    </row>
    <row r="43" spans="1:34">
      <c r="M43" t="s">
        <v>54</v>
      </c>
      <c r="O43" s="163">
        <f>AD37</f>
        <v>1791.5000000000005</v>
      </c>
      <c r="P43" s="163">
        <f>O43</f>
        <v>1791.5000000000005</v>
      </c>
      <c r="Q43" s="163">
        <f>P43+AF37+1</f>
        <v>1792.5000000000005</v>
      </c>
      <c r="R43" s="163">
        <f t="shared" ref="R43:Z43" si="16">Q43+AG37</f>
        <v>1896.5000000000005</v>
      </c>
      <c r="S43" s="163">
        <f t="shared" si="16"/>
        <v>1896.5000000000005</v>
      </c>
      <c r="T43" s="163">
        <f t="shared" si="16"/>
        <v>1896.5000000000005</v>
      </c>
      <c r="U43" s="163">
        <f t="shared" si="16"/>
        <v>1896.5000000000005</v>
      </c>
      <c r="V43" s="163">
        <f t="shared" si="16"/>
        <v>1896.5000000000005</v>
      </c>
      <c r="W43" s="163">
        <f t="shared" si="16"/>
        <v>1896.5000000000005</v>
      </c>
      <c r="X43" s="163">
        <f t="shared" si="16"/>
        <v>1896.5000000000005</v>
      </c>
      <c r="Y43" s="163">
        <f t="shared" si="16"/>
        <v>1896.5000000000005</v>
      </c>
      <c r="Z43" s="163">
        <f t="shared" si="16"/>
        <v>1896.5000000000005</v>
      </c>
      <c r="AA43" s="163"/>
      <c r="AB43" s="163"/>
      <c r="AC43" s="163"/>
    </row>
    <row r="44" spans="1:34">
      <c r="M44" t="s">
        <v>55</v>
      </c>
      <c r="O44" s="163">
        <f t="shared" ref="O44:Z44" si="17">((O40)*21/30)/12</f>
        <v>5719.583333333333</v>
      </c>
      <c r="P44" s="163">
        <f t="shared" si="17"/>
        <v>5719.583333333333</v>
      </c>
      <c r="Q44" s="163">
        <f t="shared" si="17"/>
        <v>5719.583333333333</v>
      </c>
      <c r="R44" s="163">
        <f t="shared" si="17"/>
        <v>5719.583333333333</v>
      </c>
      <c r="S44" s="163">
        <f t="shared" si="17"/>
        <v>5719.583333333333</v>
      </c>
      <c r="T44" s="163">
        <f t="shared" si="17"/>
        <v>5719.583333333333</v>
      </c>
      <c r="U44" s="163">
        <f t="shared" si="17"/>
        <v>5719.583333333333</v>
      </c>
      <c r="V44" s="163">
        <f t="shared" si="17"/>
        <v>5719.583333333333</v>
      </c>
      <c r="W44" s="163">
        <f t="shared" si="17"/>
        <v>6448.75</v>
      </c>
      <c r="X44" s="163">
        <f t="shared" si="17"/>
        <v>6448.75</v>
      </c>
      <c r="Y44" s="163">
        <f t="shared" si="17"/>
        <v>6448.75</v>
      </c>
      <c r="Z44" s="163">
        <f t="shared" si="17"/>
        <v>6448.75</v>
      </c>
      <c r="AA44" s="163"/>
      <c r="AB44" s="163"/>
      <c r="AC44" s="163"/>
    </row>
    <row r="45" spans="1:34"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</row>
    <row r="46" spans="1:34"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</row>
    <row r="47" spans="1:34"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</row>
    <row r="48" spans="1:34"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</row>
    <row r="49" spans="15:29"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</row>
    <row r="50" spans="15:29"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</row>
    <row r="51" spans="15:29"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</row>
    <row r="52" spans="15:29"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</row>
    <row r="53" spans="15:29"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</row>
    <row r="54" spans="15:29"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</row>
    <row r="55" spans="15:29"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A55" s="163"/>
      <c r="AB55" s="163"/>
      <c r="AC55" s="163"/>
    </row>
    <row r="56" spans="15:29"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</row>
    <row r="57" spans="15:29"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</row>
    <row r="58" spans="15:29"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</row>
    <row r="59" spans="15:29"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</row>
    <row r="60" spans="15:29"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</row>
    <row r="61" spans="15:29"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</row>
    <row r="62" spans="15:29"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</row>
    <row r="63" spans="15:29"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</row>
    <row r="64" spans="15:29"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</row>
    <row r="65" spans="15:29"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</row>
    <row r="66" spans="15:29"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</row>
    <row r="67" spans="15:29"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</row>
    <row r="68" spans="15:29"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</row>
    <row r="69" spans="15:29"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</row>
    <row r="70" spans="15:29"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</row>
    <row r="71" spans="15:29"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</row>
    <row r="72" spans="15:29"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</row>
    <row r="73" spans="15:29"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</row>
    <row r="74" spans="15:29"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</row>
    <row r="75" spans="15:29"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</row>
    <row r="76" spans="15:29"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</row>
    <row r="77" spans="15:29"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</row>
    <row r="78" spans="15:29"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</row>
    <row r="79" spans="15:29"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</row>
    <row r="80" spans="15:29"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</row>
    <row r="81" spans="15:29"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</row>
    <row r="82" spans="15:29"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</row>
    <row r="83" spans="15:29"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</row>
    <row r="84" spans="15:29"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</row>
    <row r="85" spans="15:29"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</row>
    <row r="86" spans="15:29"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</row>
    <row r="87" spans="15:29"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</row>
    <row r="88" spans="15:29"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</row>
    <row r="89" spans="15:29"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</row>
    <row r="90" spans="15:29"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</row>
    <row r="91" spans="15:29"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</row>
    <row r="92" spans="15:29"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</row>
    <row r="93" spans="15:29"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</row>
    <row r="94" spans="15:29"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</row>
    <row r="95" spans="15:29"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</row>
    <row r="96" spans="15:29"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</row>
    <row r="97" spans="15:29"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</row>
    <row r="98" spans="15:29"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</row>
    <row r="99" spans="15:29"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</row>
    <row r="100" spans="15:29"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</row>
    <row r="101" spans="15:29"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</row>
    <row r="102" spans="15:29"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</row>
    <row r="103" spans="15:29"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</row>
    <row r="104" spans="15:29"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</row>
    <row r="105" spans="15:29"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</row>
    <row r="106" spans="15:29"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</row>
    <row r="107" spans="15:29"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</row>
    <row r="108" spans="15:29"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</row>
    <row r="109" spans="15:29"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3"/>
    </row>
    <row r="110" spans="15:29"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</row>
    <row r="111" spans="15:29"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</row>
    <row r="112" spans="15:29"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</row>
    <row r="113" spans="15:29"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3"/>
      <c r="AB113" s="163"/>
      <c r="AC113" s="163"/>
    </row>
    <row r="114" spans="15:29"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</row>
    <row r="115" spans="15:29"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</row>
    <row r="116" spans="15:29"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</row>
    <row r="117" spans="15:29"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</row>
    <row r="118" spans="15:29"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</row>
    <row r="119" spans="15:29"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</row>
    <row r="120" spans="15:29"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</row>
    <row r="121" spans="15:29"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</row>
    <row r="122" spans="15:29"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</row>
    <row r="123" spans="15:29"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</row>
    <row r="124" spans="15:29"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</row>
    <row r="125" spans="15:29"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</row>
    <row r="126" spans="15:29"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</row>
    <row r="127" spans="15:29"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</row>
    <row r="128" spans="15:29"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</row>
    <row r="129" spans="15:29"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</row>
    <row r="130" spans="15:29"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</row>
    <row r="131" spans="15:29"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</row>
    <row r="132" spans="15:29"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</row>
    <row r="133" spans="15:29"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</row>
    <row r="134" spans="15:29"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</row>
    <row r="135" spans="15:29"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</row>
    <row r="136" spans="15:29"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</row>
  </sheetData>
  <mergeCells count="1">
    <mergeCell ref="J2:N2"/>
  </mergeCells>
  <phoneticPr fontId="0" type="noConversion"/>
  <printOptions gridLines="1"/>
  <pageMargins left="0.75" right="0.75" top="1" bottom="1" header="0.5" footer="0.5"/>
  <pageSetup scale="80" orientation="landscape" r:id="rId1"/>
  <headerFooter alignWithMargins="0">
    <oddHeader>&amp;C&amp;"Arial,Bold"EXECUTRAIN - DUBAI
Budget for the period Jan.03 to Dec.03
Staff Overhead Budget</oddHeader>
    <oddFooter>&amp;CPage 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21"/>
  <dimension ref="A1:L40"/>
  <sheetViews>
    <sheetView workbookViewId="0">
      <selection activeCell="G9" sqref="G9:K9"/>
    </sheetView>
  </sheetViews>
  <sheetFormatPr defaultRowHeight="12.75"/>
  <cols>
    <col min="1" max="1" width="2.85546875" customWidth="1"/>
    <col min="12" max="12" width="3.5703125" customWidth="1"/>
  </cols>
  <sheetData>
    <row r="1" spans="1:12" ht="13.5" thickBot="1">
      <c r="A1" s="326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8"/>
    </row>
    <row r="2" spans="1:12">
      <c r="A2" s="118"/>
      <c r="B2" s="326"/>
      <c r="C2" s="327"/>
      <c r="D2" s="327"/>
      <c r="E2" s="327"/>
      <c r="F2" s="327"/>
      <c r="G2" s="327"/>
      <c r="H2" s="327"/>
      <c r="I2" s="327"/>
      <c r="J2" s="327"/>
      <c r="K2" s="328"/>
      <c r="L2" s="120"/>
    </row>
    <row r="3" spans="1:12" ht="26.25">
      <c r="A3" s="118"/>
      <c r="B3" s="600" t="s">
        <v>855</v>
      </c>
      <c r="C3" s="601"/>
      <c r="D3" s="601"/>
      <c r="E3" s="601"/>
      <c r="F3" s="601"/>
      <c r="G3" s="601"/>
      <c r="H3" s="601"/>
      <c r="I3" s="601"/>
      <c r="J3" s="601"/>
      <c r="K3" s="602"/>
      <c r="L3" s="120"/>
    </row>
    <row r="4" spans="1:12">
      <c r="A4" s="118"/>
      <c r="B4" s="118"/>
      <c r="C4" s="21"/>
      <c r="D4" s="21"/>
      <c r="E4" s="21"/>
      <c r="F4" s="21"/>
      <c r="G4" s="21"/>
      <c r="H4" s="21"/>
      <c r="I4" s="21"/>
      <c r="J4" s="21"/>
      <c r="K4" s="120"/>
      <c r="L4" s="120"/>
    </row>
    <row r="5" spans="1:12" ht="20.25">
      <c r="A5" s="118"/>
      <c r="B5" s="603" t="s">
        <v>548</v>
      </c>
      <c r="C5" s="604"/>
      <c r="D5" s="604"/>
      <c r="E5" s="604"/>
      <c r="F5" s="604"/>
      <c r="G5" s="604"/>
      <c r="H5" s="604"/>
      <c r="I5" s="604"/>
      <c r="J5" s="604"/>
      <c r="K5" s="605"/>
      <c r="L5" s="120"/>
    </row>
    <row r="6" spans="1:12" ht="13.5" thickBot="1">
      <c r="A6" s="118"/>
      <c r="B6" s="134"/>
      <c r="C6" s="131"/>
      <c r="D6" s="131"/>
      <c r="E6" s="131"/>
      <c r="F6" s="131"/>
      <c r="G6" s="131"/>
      <c r="H6" s="131"/>
      <c r="I6" s="131"/>
      <c r="J6" s="131"/>
      <c r="K6" s="344"/>
      <c r="L6" s="120"/>
    </row>
    <row r="7" spans="1:12" ht="13.5" thickBot="1">
      <c r="A7" s="118"/>
      <c r="B7" s="21"/>
      <c r="C7" s="21"/>
      <c r="D7" s="21"/>
      <c r="E7" s="21"/>
      <c r="F7" s="21"/>
      <c r="G7" s="21"/>
      <c r="H7" s="21"/>
      <c r="I7" s="21"/>
      <c r="J7" s="21"/>
      <c r="K7" s="21"/>
      <c r="L7" s="120"/>
    </row>
    <row r="8" spans="1:12">
      <c r="A8" s="118"/>
      <c r="B8" s="326"/>
      <c r="C8" s="327"/>
      <c r="D8" s="327"/>
      <c r="E8" s="327"/>
      <c r="F8" s="328"/>
      <c r="G8" s="327"/>
      <c r="H8" s="327"/>
      <c r="I8" s="327"/>
      <c r="J8" s="327"/>
      <c r="K8" s="328"/>
      <c r="L8" s="120"/>
    </row>
    <row r="9" spans="1:12" ht="20.25">
      <c r="A9" s="118"/>
      <c r="B9" s="606" t="s">
        <v>549</v>
      </c>
      <c r="C9" s="607"/>
      <c r="D9" s="607"/>
      <c r="E9" s="607"/>
      <c r="F9" s="608"/>
      <c r="G9" s="603" t="s">
        <v>856</v>
      </c>
      <c r="H9" s="604"/>
      <c r="I9" s="604"/>
      <c r="J9" s="604"/>
      <c r="K9" s="605"/>
      <c r="L9" s="120"/>
    </row>
    <row r="10" spans="1:12">
      <c r="A10" s="118"/>
      <c r="B10" s="118"/>
      <c r="C10" s="21"/>
      <c r="D10" s="21"/>
      <c r="E10" s="21"/>
      <c r="F10" s="120"/>
      <c r="G10" s="21"/>
      <c r="H10" s="21"/>
      <c r="I10" s="21"/>
      <c r="J10" s="21"/>
      <c r="K10" s="120"/>
      <c r="L10" s="120"/>
    </row>
    <row r="11" spans="1:12" ht="18">
      <c r="A11" s="118"/>
      <c r="B11" s="594" t="s">
        <v>551</v>
      </c>
      <c r="C11" s="595"/>
      <c r="D11" s="595"/>
      <c r="E11" s="595"/>
      <c r="F11" s="596"/>
      <c r="G11" s="597" t="s">
        <v>552</v>
      </c>
      <c r="H11" s="598"/>
      <c r="I11" s="598"/>
      <c r="J11" s="598"/>
      <c r="K11" s="599"/>
      <c r="L11" s="120"/>
    </row>
    <row r="12" spans="1:12" ht="13.5" thickBot="1">
      <c r="A12" s="118"/>
      <c r="B12" s="134"/>
      <c r="C12" s="131"/>
      <c r="D12" s="131"/>
      <c r="E12" s="131"/>
      <c r="F12" s="344"/>
      <c r="G12" s="131"/>
      <c r="H12" s="131"/>
      <c r="I12" s="131"/>
      <c r="J12" s="131"/>
      <c r="K12" s="344"/>
      <c r="L12" s="120"/>
    </row>
    <row r="13" spans="1:12" ht="13.5" thickBot="1">
      <c r="A13" s="118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120"/>
    </row>
    <row r="14" spans="1:12">
      <c r="A14" s="118"/>
      <c r="B14" s="326"/>
      <c r="C14" s="327"/>
      <c r="D14" s="327"/>
      <c r="E14" s="327"/>
      <c r="F14" s="328"/>
      <c r="G14" s="327"/>
      <c r="H14" s="327"/>
      <c r="I14" s="327"/>
      <c r="J14" s="327"/>
      <c r="K14" s="328"/>
      <c r="L14" s="120"/>
    </row>
    <row r="15" spans="1:12" ht="15.75">
      <c r="A15" s="118"/>
      <c r="B15" s="597" t="s">
        <v>553</v>
      </c>
      <c r="C15" s="598"/>
      <c r="D15" s="598"/>
      <c r="E15" s="598"/>
      <c r="F15" s="599"/>
      <c r="G15" s="597" t="s">
        <v>800</v>
      </c>
      <c r="H15" s="598"/>
      <c r="I15" s="598"/>
      <c r="J15" s="598"/>
      <c r="K15" s="599"/>
      <c r="L15" s="120"/>
    </row>
    <row r="16" spans="1:12" ht="13.5" thickBot="1">
      <c r="A16" s="118"/>
      <c r="B16" s="134"/>
      <c r="C16" s="131"/>
      <c r="D16" s="131"/>
      <c r="E16" s="131"/>
      <c r="F16" s="344"/>
      <c r="G16" s="131"/>
      <c r="H16" s="131"/>
      <c r="I16" s="131"/>
      <c r="J16" s="131"/>
      <c r="K16" s="344"/>
      <c r="L16" s="120"/>
    </row>
    <row r="17" spans="1:12" ht="13.5" thickBot="1">
      <c r="A17" s="118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120"/>
    </row>
    <row r="18" spans="1:12">
      <c r="A18" s="118"/>
      <c r="B18" s="326"/>
      <c r="C18" s="327"/>
      <c r="D18" s="327"/>
      <c r="E18" s="327"/>
      <c r="F18" s="328"/>
      <c r="G18" s="327"/>
      <c r="H18" s="327"/>
      <c r="I18" s="327"/>
      <c r="J18" s="327"/>
      <c r="K18" s="328"/>
      <c r="L18" s="120"/>
    </row>
    <row r="19" spans="1:12">
      <c r="A19" s="118"/>
      <c r="B19" s="588" t="s">
        <v>554</v>
      </c>
      <c r="C19" s="589"/>
      <c r="D19" s="589"/>
      <c r="E19" s="589"/>
      <c r="F19" s="590"/>
      <c r="G19" s="591" t="s">
        <v>555</v>
      </c>
      <c r="H19" s="592"/>
      <c r="I19" s="592"/>
      <c r="J19" s="592"/>
      <c r="K19" s="593"/>
      <c r="L19" s="120"/>
    </row>
    <row r="20" spans="1:12" ht="13.5" thickBot="1">
      <c r="A20" s="118"/>
      <c r="B20" s="134"/>
      <c r="C20" s="131"/>
      <c r="D20" s="131"/>
      <c r="E20" s="131"/>
      <c r="F20" s="344"/>
      <c r="G20" s="131"/>
      <c r="H20" s="131"/>
      <c r="I20" s="131"/>
      <c r="J20" s="131"/>
      <c r="K20" s="344"/>
      <c r="L20" s="120"/>
    </row>
    <row r="21" spans="1:12">
      <c r="A21" s="118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120"/>
    </row>
    <row r="22" spans="1:12">
      <c r="A22" s="118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120"/>
    </row>
    <row r="23" spans="1:12">
      <c r="A23" s="118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120"/>
    </row>
    <row r="24" spans="1:12">
      <c r="A24" s="118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120"/>
    </row>
    <row r="25" spans="1:12">
      <c r="A25" s="118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120"/>
    </row>
    <row r="26" spans="1:12">
      <c r="A26" s="118"/>
      <c r="B26" s="263"/>
      <c r="C26" s="263"/>
      <c r="D26" s="263"/>
      <c r="E26" s="263"/>
      <c r="F26" s="21"/>
      <c r="G26" s="263"/>
      <c r="H26" s="263"/>
      <c r="I26" s="263"/>
      <c r="J26" s="263"/>
      <c r="K26" s="21"/>
      <c r="L26" s="120"/>
    </row>
    <row r="27" spans="1:12">
      <c r="A27" s="118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120"/>
    </row>
    <row r="28" spans="1:12">
      <c r="A28" s="118"/>
      <c r="B28" s="21" t="s">
        <v>169</v>
      </c>
      <c r="C28" s="21"/>
      <c r="D28" s="21"/>
      <c r="E28" s="21"/>
      <c r="F28" s="21"/>
      <c r="G28" s="21"/>
      <c r="H28" s="21"/>
      <c r="I28" s="21"/>
      <c r="J28" s="21"/>
      <c r="K28" s="21"/>
      <c r="L28" s="120"/>
    </row>
    <row r="29" spans="1:12">
      <c r="A29" s="118"/>
      <c r="B29" s="21" t="s">
        <v>556</v>
      </c>
      <c r="C29" s="21"/>
      <c r="D29" s="21"/>
      <c r="E29" s="21"/>
      <c r="F29" s="21"/>
      <c r="G29" s="21" t="s">
        <v>842</v>
      </c>
      <c r="H29" s="21"/>
      <c r="I29" s="21"/>
      <c r="J29" s="21"/>
      <c r="K29" s="21"/>
      <c r="L29" s="120"/>
    </row>
    <row r="30" spans="1:12">
      <c r="A30" s="118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120"/>
    </row>
    <row r="31" spans="1:12">
      <c r="A31" s="118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120"/>
    </row>
    <row r="32" spans="1:12">
      <c r="A32" s="118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120"/>
    </row>
    <row r="33" spans="1:12">
      <c r="A33" s="118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120"/>
    </row>
    <row r="34" spans="1:12">
      <c r="A34" s="118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120"/>
    </row>
    <row r="35" spans="1:12">
      <c r="A35" s="118"/>
      <c r="B35" s="263"/>
      <c r="C35" s="263"/>
      <c r="D35" s="263"/>
      <c r="E35" s="263"/>
      <c r="F35" s="21"/>
      <c r="G35" s="263"/>
      <c r="H35" s="263"/>
      <c r="I35" s="263"/>
      <c r="J35" s="263"/>
      <c r="K35" s="21"/>
      <c r="L35" s="120"/>
    </row>
    <row r="36" spans="1:12">
      <c r="A36" s="118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120"/>
    </row>
    <row r="37" spans="1:12">
      <c r="A37" s="118"/>
      <c r="B37" s="21" t="s">
        <v>557</v>
      </c>
      <c r="C37" s="21"/>
      <c r="D37" s="21"/>
      <c r="E37" s="21"/>
      <c r="F37" s="21"/>
      <c r="G37" s="21" t="s">
        <v>558</v>
      </c>
      <c r="H37" s="21"/>
      <c r="I37" s="21"/>
      <c r="J37" s="21"/>
      <c r="K37" s="21"/>
      <c r="L37" s="120"/>
    </row>
    <row r="38" spans="1:12">
      <c r="A38" s="118"/>
      <c r="B38" s="21" t="s">
        <v>559</v>
      </c>
      <c r="C38" s="21"/>
      <c r="D38" s="21"/>
      <c r="E38" s="21"/>
      <c r="F38" s="21"/>
      <c r="G38" s="21"/>
      <c r="H38" s="21"/>
      <c r="I38" s="21"/>
      <c r="J38" s="21"/>
      <c r="K38" s="21"/>
      <c r="L38" s="120"/>
    </row>
    <row r="39" spans="1:12">
      <c r="A39" s="118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120"/>
    </row>
    <row r="40" spans="1:12" ht="13.5" thickBot="1">
      <c r="A40" s="134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344"/>
    </row>
  </sheetData>
  <mergeCells count="10">
    <mergeCell ref="B3:K3"/>
    <mergeCell ref="B5:K5"/>
    <mergeCell ref="B9:F9"/>
    <mergeCell ref="G9:K9"/>
    <mergeCell ref="B19:F19"/>
    <mergeCell ref="G19:K19"/>
    <mergeCell ref="B11:F11"/>
    <mergeCell ref="G11:K11"/>
    <mergeCell ref="B15:F15"/>
    <mergeCell ref="G15:K15"/>
  </mergeCell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5"/>
  <dimension ref="A1:Y496"/>
  <sheetViews>
    <sheetView showZeros="0" workbookViewId="0">
      <pane xSplit="2" ySplit="2" topLeftCell="G35" activePane="bottomRight" state="frozen"/>
      <selection pane="topRight" activeCell="C1" sqref="C1"/>
      <selection pane="bottomLeft" activeCell="A3" sqref="A3"/>
      <selection pane="bottomRight" activeCell="M169" sqref="M169"/>
    </sheetView>
  </sheetViews>
  <sheetFormatPr defaultRowHeight="12.75"/>
  <cols>
    <col min="1" max="1" width="12.7109375" customWidth="1"/>
    <col min="2" max="2" width="29.85546875" customWidth="1"/>
    <col min="3" max="3" width="10.42578125" customWidth="1"/>
    <col min="4" max="4" width="11.28515625" bestFit="1" customWidth="1"/>
    <col min="13" max="14" width="9.85546875" bestFit="1" customWidth="1"/>
    <col min="15" max="15" width="10.5703125" customWidth="1"/>
    <col min="16" max="16" width="11.140625" customWidth="1"/>
    <col min="17" max="17" width="9.7109375" customWidth="1"/>
  </cols>
  <sheetData>
    <row r="1" spans="1:16">
      <c r="A1" s="65" t="s">
        <v>41</v>
      </c>
      <c r="B1" s="65" t="s">
        <v>42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7"/>
      <c r="P1" s="67" t="s">
        <v>5</v>
      </c>
    </row>
    <row r="2" spans="1:16">
      <c r="A2" s="41"/>
      <c r="B2" s="65"/>
      <c r="C2" s="69">
        <v>37622</v>
      </c>
      <c r="D2" s="69">
        <v>37653</v>
      </c>
      <c r="E2" s="69">
        <v>37681</v>
      </c>
      <c r="F2" s="69">
        <v>37712</v>
      </c>
      <c r="G2" s="69">
        <v>37742</v>
      </c>
      <c r="H2" s="69">
        <v>37773</v>
      </c>
      <c r="I2" s="69">
        <v>37803</v>
      </c>
      <c r="J2" s="69">
        <v>37834</v>
      </c>
      <c r="K2" s="69">
        <v>37865</v>
      </c>
      <c r="L2" s="69">
        <v>37895</v>
      </c>
      <c r="M2" s="69">
        <v>37926</v>
      </c>
      <c r="N2" s="69">
        <v>37956</v>
      </c>
      <c r="O2" s="69" t="s">
        <v>5</v>
      </c>
      <c r="P2" s="67" t="s">
        <v>48</v>
      </c>
    </row>
    <row r="3" spans="1:16">
      <c r="A3" s="41"/>
      <c r="B3" s="65" t="s">
        <v>49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7"/>
      <c r="P3" s="72"/>
    </row>
    <row r="4" spans="1:16">
      <c r="A4" s="41"/>
      <c r="B4" s="6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7"/>
      <c r="P4" s="72"/>
    </row>
    <row r="5" spans="1:16">
      <c r="A5" s="41"/>
      <c r="B5" s="65" t="s">
        <v>11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/>
    </row>
    <row r="6" spans="1:16">
      <c r="A6" s="73" t="s">
        <v>718</v>
      </c>
      <c r="B6" s="11" t="s">
        <v>51</v>
      </c>
      <c r="C6" s="14">
        <f>+'GEN. O.H'!F5</f>
        <v>98050</v>
      </c>
      <c r="D6" s="14">
        <f>+'GEN. O.H'!G5</f>
        <v>98050</v>
      </c>
      <c r="E6" s="14">
        <f>+'GEN. O.H'!H5</f>
        <v>98050</v>
      </c>
      <c r="F6" s="14">
        <f>+'GEN. O.H'!I5</f>
        <v>98050</v>
      </c>
      <c r="G6" s="14">
        <f>+'GEN. O.H'!J5</f>
        <v>98050</v>
      </c>
      <c r="H6" s="14">
        <f>+'GEN. O.H'!K5</f>
        <v>98050</v>
      </c>
      <c r="I6" s="14">
        <f>+'GEN. O.H'!L5</f>
        <v>98050</v>
      </c>
      <c r="J6" s="14">
        <f>+'GEN. O.H'!M5</f>
        <v>98050</v>
      </c>
      <c r="K6" s="14">
        <f>+'GEN. O.H'!N5</f>
        <v>110550</v>
      </c>
      <c r="L6" s="14">
        <f>+'GEN. O.H'!O5</f>
        <v>110550</v>
      </c>
      <c r="M6" s="14">
        <f>+'GEN. O.H'!P5</f>
        <v>110550</v>
      </c>
      <c r="N6" s="14">
        <f>+'GEN. O.H'!Q5</f>
        <v>110550</v>
      </c>
      <c r="O6" s="43">
        <f>SUM(C6:N6)</f>
        <v>1226600</v>
      </c>
    </row>
    <row r="7" spans="1:16">
      <c r="A7" s="73" t="s">
        <v>718</v>
      </c>
      <c r="B7" s="79" t="s">
        <v>52</v>
      </c>
      <c r="C7" s="14">
        <f>+'GEN. O.H'!F6</f>
        <v>29450</v>
      </c>
      <c r="D7" s="14">
        <f>+'GEN. O.H'!G6</f>
        <v>29450</v>
      </c>
      <c r="E7" s="14">
        <f>+'GEN. O.H'!H6</f>
        <v>29450</v>
      </c>
      <c r="F7" s="14">
        <f>+'GEN. O.H'!I6</f>
        <v>29450</v>
      </c>
      <c r="G7" s="14">
        <f>+'GEN. O.H'!J6</f>
        <v>29450</v>
      </c>
      <c r="H7" s="14">
        <f>+'GEN. O.H'!K6</f>
        <v>29450</v>
      </c>
      <c r="I7" s="14">
        <f>+'GEN. O.H'!L6</f>
        <v>29450</v>
      </c>
      <c r="J7" s="14">
        <f>+'GEN. O.H'!M6</f>
        <v>29450</v>
      </c>
      <c r="K7" s="14">
        <f>+'GEN. O.H'!N6</f>
        <v>29450</v>
      </c>
      <c r="L7" s="14">
        <f>+'GEN. O.H'!O6</f>
        <v>29450</v>
      </c>
      <c r="M7" s="14">
        <f>+'GEN. O.H'!P6</f>
        <v>29450</v>
      </c>
      <c r="N7" s="14">
        <f>+'GEN. O.H'!Q6</f>
        <v>29450</v>
      </c>
      <c r="O7" s="43">
        <f t="shared" ref="O7:O17" si="0">SUM(C7:N7)</f>
        <v>353400</v>
      </c>
    </row>
    <row r="8" spans="1:16">
      <c r="A8" s="73" t="s">
        <v>718</v>
      </c>
      <c r="B8" s="80" t="s">
        <v>53</v>
      </c>
      <c r="C8" s="14">
        <f>+'GEN. O.H'!F7</f>
        <v>0</v>
      </c>
      <c r="D8" s="14">
        <f>+'GEN. O.H'!G7</f>
        <v>0</v>
      </c>
      <c r="E8" s="14">
        <f>+'GEN. O.H'!H7</f>
        <v>0</v>
      </c>
      <c r="F8" s="14">
        <f>+'GEN. O.H'!I7</f>
        <v>0</v>
      </c>
      <c r="G8" s="14">
        <f>+'GEN. O.H'!J7</f>
        <v>0</v>
      </c>
      <c r="H8" s="14">
        <f>+'GEN. O.H'!K7</f>
        <v>0</v>
      </c>
      <c r="I8" s="14">
        <f>+'GEN. O.H'!L7</f>
        <v>0</v>
      </c>
      <c r="J8" s="14">
        <f>+'GEN. O.H'!M7</f>
        <v>0</v>
      </c>
      <c r="K8" s="14">
        <f>+'GEN. O.H'!N7</f>
        <v>0</v>
      </c>
      <c r="L8" s="14">
        <f>+'GEN. O.H'!O7</f>
        <v>0</v>
      </c>
      <c r="M8" s="14">
        <f>+'GEN. O.H'!P7</f>
        <v>0</v>
      </c>
      <c r="N8" s="14">
        <f>+'GEN. O.H'!Q7</f>
        <v>0</v>
      </c>
      <c r="O8" s="43">
        <f t="shared" si="0"/>
        <v>0</v>
      </c>
    </row>
    <row r="9" spans="1:16">
      <c r="A9" s="73" t="s">
        <v>718</v>
      </c>
      <c r="B9" t="s">
        <v>54</v>
      </c>
      <c r="C9" s="14">
        <f>+'GEN. O.H'!F8</f>
        <v>2291.666666666667</v>
      </c>
      <c r="D9" s="14">
        <f>+'GEN. O.H'!G8</f>
        <v>2291.666666666667</v>
      </c>
      <c r="E9" s="14">
        <f>+'GEN. O.H'!H8</f>
        <v>2291.666666666667</v>
      </c>
      <c r="F9" s="14">
        <f>+'GEN. O.H'!I8</f>
        <v>2291.666666666667</v>
      </c>
      <c r="G9" s="14">
        <f>+'GEN. O.H'!J8</f>
        <v>2291.666666666667</v>
      </c>
      <c r="H9" s="14">
        <f>+'GEN. O.H'!K8</f>
        <v>2291.666666666667</v>
      </c>
      <c r="I9" s="14">
        <f>+'GEN. O.H'!L8</f>
        <v>2291.666666666667</v>
      </c>
      <c r="J9" s="14">
        <f>+'GEN. O.H'!M8</f>
        <v>2291.666666666667</v>
      </c>
      <c r="K9" s="14">
        <f>+'GEN. O.H'!N8</f>
        <v>2291.666666666667</v>
      </c>
      <c r="L9" s="14">
        <f>+'GEN. O.H'!O8</f>
        <v>2291.666666666667</v>
      </c>
      <c r="M9" s="14">
        <f>+'GEN. O.H'!P8</f>
        <v>2291.666666666667</v>
      </c>
      <c r="N9" s="14">
        <f>+'GEN. O.H'!Q8</f>
        <v>2291.666666666667</v>
      </c>
      <c r="O9" s="43">
        <f t="shared" si="0"/>
        <v>27500.000000000011</v>
      </c>
    </row>
    <row r="10" spans="1:16">
      <c r="A10" s="73" t="s">
        <v>718</v>
      </c>
      <c r="B10" s="81" t="s">
        <v>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43">
        <f t="shared" si="0"/>
        <v>0</v>
      </c>
    </row>
    <row r="11" spans="1:16">
      <c r="A11" s="73" t="s">
        <v>718</v>
      </c>
      <c r="B11" t="s">
        <v>56</v>
      </c>
      <c r="C11" s="14">
        <f>+'GEN. O.H'!F10</f>
        <v>2447.3333333333335</v>
      </c>
      <c r="D11" s="14">
        <f>+'GEN. O.H'!G10</f>
        <v>2447.3333333333335</v>
      </c>
      <c r="E11" s="14">
        <f>+'GEN. O.H'!H10</f>
        <v>2447.3333333333335</v>
      </c>
      <c r="F11" s="14">
        <f>+'GEN. O.H'!I10</f>
        <v>2447.3333333333335</v>
      </c>
      <c r="G11" s="14">
        <f>+'GEN. O.H'!J10</f>
        <v>2447.3333333333335</v>
      </c>
      <c r="H11" s="14">
        <f>+'GEN. O.H'!K10</f>
        <v>2447.3333333333335</v>
      </c>
      <c r="I11" s="14">
        <f>+'GEN. O.H'!L10</f>
        <v>2447.3333333333335</v>
      </c>
      <c r="J11" s="14">
        <f>+'GEN. O.H'!M10</f>
        <v>2447.3333333333335</v>
      </c>
      <c r="K11" s="14">
        <f>+'GEN. O.H'!N10</f>
        <v>2447.3333333333335</v>
      </c>
      <c r="L11" s="14">
        <f>+'GEN. O.H'!O10</f>
        <v>2447.3333333333335</v>
      </c>
      <c r="M11" s="14">
        <f>+'GEN. O.H'!P10</f>
        <v>2447.3333333333335</v>
      </c>
      <c r="N11" s="14">
        <f>+'GEN. O.H'!Q10</f>
        <v>2447.3333333333335</v>
      </c>
      <c r="O11" s="43">
        <f t="shared" si="0"/>
        <v>29367.999999999996</v>
      </c>
    </row>
    <row r="12" spans="1:16">
      <c r="A12" s="73" t="s">
        <v>718</v>
      </c>
      <c r="B12" t="s">
        <v>57</v>
      </c>
      <c r="C12" s="14">
        <f>+'GEN. O.H'!F11</f>
        <v>0</v>
      </c>
      <c r="D12" s="14">
        <f>+'GEN. O.H'!G11</f>
        <v>0</v>
      </c>
      <c r="E12" s="14">
        <f>+'GEN. O.H'!H11</f>
        <v>0</v>
      </c>
      <c r="F12" s="14">
        <f>+'GEN. O.H'!I11</f>
        <v>0</v>
      </c>
      <c r="G12" s="14">
        <f>+'GEN. O.H'!J11</f>
        <v>0</v>
      </c>
      <c r="H12" s="14">
        <f>+'GEN. O.H'!K11</f>
        <v>0</v>
      </c>
      <c r="I12" s="14">
        <f>+'GEN. O.H'!L11</f>
        <v>0</v>
      </c>
      <c r="J12" s="14">
        <f>+'GEN. O.H'!M11</f>
        <v>0</v>
      </c>
      <c r="K12" s="14">
        <f>+'GEN. O.H'!N11</f>
        <v>0</v>
      </c>
      <c r="L12" s="14">
        <f>+'GEN. O.H'!O11</f>
        <v>0</v>
      </c>
      <c r="M12" s="14">
        <f>+'GEN. O.H'!P11</f>
        <v>0</v>
      </c>
      <c r="N12" s="14">
        <f>+'GEN. O.H'!Q11</f>
        <v>0</v>
      </c>
      <c r="O12" s="43">
        <f t="shared" si="0"/>
        <v>0</v>
      </c>
    </row>
    <row r="13" spans="1:16">
      <c r="A13" s="73" t="s">
        <v>718</v>
      </c>
      <c r="B13" t="s">
        <v>58</v>
      </c>
      <c r="C13" s="14">
        <f>+'GEN. O.H'!F12</f>
        <v>322.67272727272729</v>
      </c>
      <c r="D13" s="14">
        <f>+'GEN. O.H'!G12</f>
        <v>322.67272727272729</v>
      </c>
      <c r="E13" s="14">
        <f>+'GEN. O.H'!H12</f>
        <v>322.67272727272729</v>
      </c>
      <c r="F13" s="14">
        <f>+'GEN. O.H'!I12</f>
        <v>322.67272727272729</v>
      </c>
      <c r="G13" s="14">
        <f>+'GEN. O.H'!J12</f>
        <v>322.67272727272729</v>
      </c>
      <c r="H13" s="14">
        <f>+'GEN. O.H'!K12</f>
        <v>322.67272727272729</v>
      </c>
      <c r="I13" s="14">
        <f>+'GEN. O.H'!L12</f>
        <v>322.67272727272729</v>
      </c>
      <c r="J13" s="14">
        <f>+'GEN. O.H'!M12</f>
        <v>322.67272727272729</v>
      </c>
      <c r="K13" s="14">
        <f>+'GEN. O.H'!N12</f>
        <v>322.67272727272729</v>
      </c>
      <c r="L13" s="14">
        <f>+'GEN. O.H'!O12</f>
        <v>322.67272727272729</v>
      </c>
      <c r="M13" s="14">
        <f>+'GEN. O.H'!P12</f>
        <v>322.67272727272729</v>
      </c>
      <c r="N13" s="14">
        <f>+'GEN. O.H'!Q12</f>
        <v>322.67272727272729</v>
      </c>
      <c r="O13" s="43">
        <f t="shared" si="0"/>
        <v>3872.0727272727268</v>
      </c>
    </row>
    <row r="14" spans="1:16">
      <c r="A14" s="73" t="s">
        <v>718</v>
      </c>
      <c r="B14" t="s">
        <v>59</v>
      </c>
      <c r="C14" s="14">
        <f>2871*12</f>
        <v>34452</v>
      </c>
      <c r="D14" s="14"/>
      <c r="E14" s="14"/>
      <c r="F14" s="14">
        <f>3281+819</f>
        <v>4100</v>
      </c>
      <c r="G14" s="14"/>
      <c r="H14" s="14"/>
      <c r="I14" s="14">
        <v>4920</v>
      </c>
      <c r="J14" s="14"/>
      <c r="K14" s="14"/>
      <c r="L14" s="14"/>
      <c r="M14" s="14"/>
      <c r="N14" s="14"/>
      <c r="O14" s="43">
        <f t="shared" si="0"/>
        <v>43472</v>
      </c>
    </row>
    <row r="15" spans="1:16">
      <c r="A15" s="73" t="s">
        <v>718</v>
      </c>
      <c r="B15" s="21" t="s">
        <v>61</v>
      </c>
      <c r="C15" s="14">
        <f>+'GEN. O.H'!F14</f>
        <v>3141.7045454545455</v>
      </c>
      <c r="D15" s="14">
        <f>+'GEN. O.H'!G14</f>
        <v>3141.7045454545455</v>
      </c>
      <c r="E15" s="14">
        <f>+'GEN. O.H'!H14</f>
        <v>3141.7045454545455</v>
      </c>
      <c r="F15" s="14">
        <f>+'GEN. O.H'!I14</f>
        <v>3141.7045454545455</v>
      </c>
      <c r="G15" s="14">
        <f>+'GEN. O.H'!J14</f>
        <v>3141.7045454545455</v>
      </c>
      <c r="H15" s="14">
        <f>+'GEN. O.H'!K14</f>
        <v>3141.7045454545455</v>
      </c>
      <c r="I15" s="14">
        <f>+'GEN. O.H'!L14</f>
        <v>3141.7045454545455</v>
      </c>
      <c r="J15" s="14">
        <f>+'GEN. O.H'!M14</f>
        <v>3141.7045454545455</v>
      </c>
      <c r="K15" s="14">
        <f>+'GEN. O.H'!N14</f>
        <v>3141.7045454545455</v>
      </c>
      <c r="L15" s="14">
        <f>+'GEN. O.H'!O14</f>
        <v>3141.7045454545455</v>
      </c>
      <c r="M15" s="14">
        <f>+'GEN. O.H'!P14</f>
        <v>3141.7045454545455</v>
      </c>
      <c r="N15" s="14">
        <f>+'GEN. O.H'!Q14</f>
        <v>3141.7045454545455</v>
      </c>
      <c r="O15" s="43">
        <f t="shared" si="0"/>
        <v>37700.454545454537</v>
      </c>
    </row>
    <row r="16" spans="1:16">
      <c r="A16" s="73" t="s">
        <v>718</v>
      </c>
      <c r="B16" s="21" t="s">
        <v>62</v>
      </c>
      <c r="C16" s="14">
        <f>+'GEN. O.H'!F15</f>
        <v>3001.145833333333</v>
      </c>
      <c r="D16" s="14">
        <f>+'GEN. O.H'!G15</f>
        <v>3001.145833333333</v>
      </c>
      <c r="E16" s="14">
        <f>+'GEN. O.H'!H15</f>
        <v>3001.145833333333</v>
      </c>
      <c r="F16" s="14">
        <f>+'GEN. O.H'!I15</f>
        <v>3001.145833333333</v>
      </c>
      <c r="G16" s="14">
        <f>+'GEN. O.H'!J15</f>
        <v>3001.145833333333</v>
      </c>
      <c r="H16" s="14">
        <f>+'GEN. O.H'!K15</f>
        <v>3001.145833333333</v>
      </c>
      <c r="I16" s="14">
        <f>+'GEN. O.H'!L15</f>
        <v>3001.145833333333</v>
      </c>
      <c r="J16" s="14">
        <f>+'GEN. O.H'!M15</f>
        <v>3001.145833333333</v>
      </c>
      <c r="K16" s="14">
        <f>+'GEN. O.H'!N15</f>
        <v>3001.145833333333</v>
      </c>
      <c r="L16" s="14">
        <f>+'GEN. O.H'!O15</f>
        <v>3001.145833333333</v>
      </c>
      <c r="M16" s="14">
        <f>+'GEN. O.H'!P15</f>
        <v>3001.145833333333</v>
      </c>
      <c r="N16" s="14">
        <f>+'GEN. O.H'!Q15</f>
        <v>3001.145833333333</v>
      </c>
      <c r="O16" s="43">
        <f t="shared" si="0"/>
        <v>36013.749999999993</v>
      </c>
    </row>
    <row r="17" spans="1:16">
      <c r="A17" s="73" t="s">
        <v>718</v>
      </c>
      <c r="B17" t="s">
        <v>204</v>
      </c>
      <c r="C17" s="14"/>
      <c r="D17" s="14"/>
      <c r="E17" s="14"/>
      <c r="F17" s="14"/>
      <c r="G17" s="14"/>
      <c r="H17" s="14"/>
      <c r="I17" s="14"/>
      <c r="J17" s="14"/>
      <c r="K17" s="14">
        <v>2500</v>
      </c>
      <c r="L17" s="14"/>
      <c r="M17" s="14"/>
      <c r="N17" s="14"/>
      <c r="O17" s="43">
        <f t="shared" si="0"/>
        <v>2500</v>
      </c>
    </row>
    <row r="18" spans="1:16">
      <c r="A18" s="41"/>
      <c r="B18" s="82" t="s">
        <v>63</v>
      </c>
      <c r="C18" s="51">
        <f t="shared" ref="C18:O18" si="1">SUM(C6:C17)</f>
        <v>173156.52310606063</v>
      </c>
      <c r="D18" s="51">
        <f t="shared" si="1"/>
        <v>138704.52310606063</v>
      </c>
      <c r="E18" s="51">
        <f t="shared" si="1"/>
        <v>138704.52310606063</v>
      </c>
      <c r="F18" s="51">
        <f t="shared" si="1"/>
        <v>142804.52310606063</v>
      </c>
      <c r="G18" s="51">
        <f t="shared" si="1"/>
        <v>138704.52310606063</v>
      </c>
      <c r="H18" s="51">
        <f t="shared" si="1"/>
        <v>138704.52310606063</v>
      </c>
      <c r="I18" s="51">
        <f t="shared" si="1"/>
        <v>143624.52310606063</v>
      </c>
      <c r="J18" s="51">
        <f t="shared" si="1"/>
        <v>138704.52310606063</v>
      </c>
      <c r="K18" s="51">
        <f t="shared" si="1"/>
        <v>153704.52310606063</v>
      </c>
      <c r="L18" s="51">
        <f t="shared" si="1"/>
        <v>151204.52310606063</v>
      </c>
      <c r="M18" s="51">
        <f t="shared" si="1"/>
        <v>151204.52310606063</v>
      </c>
      <c r="N18" s="51">
        <f t="shared" si="1"/>
        <v>151204.52310606063</v>
      </c>
      <c r="O18" s="87">
        <f t="shared" si="1"/>
        <v>1760426.2772727273</v>
      </c>
      <c r="P18" s="45">
        <f>SUM(C18:N18)</f>
        <v>1760426.277272728</v>
      </c>
    </row>
    <row r="19" spans="1:16">
      <c r="A19" s="41"/>
      <c r="B19" s="1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43">
        <f>SUM(C19:I19)</f>
        <v>0</v>
      </c>
    </row>
    <row r="20" spans="1:16">
      <c r="A20" s="73"/>
      <c r="B20" s="65" t="s">
        <v>64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7"/>
    </row>
    <row r="21" spans="1:16">
      <c r="A21" s="29" t="s">
        <v>718</v>
      </c>
      <c r="B21" s="4" t="s">
        <v>65</v>
      </c>
      <c r="C21" s="14"/>
      <c r="D21" s="14">
        <v>114256</v>
      </c>
      <c r="E21" s="14"/>
      <c r="F21" s="14"/>
      <c r="G21" s="14"/>
      <c r="H21" s="14">
        <v>114256</v>
      </c>
      <c r="I21" s="14"/>
      <c r="J21" s="14"/>
      <c r="K21" s="14"/>
      <c r="L21" s="14">
        <v>114256</v>
      </c>
      <c r="M21" s="14"/>
      <c r="N21" s="14"/>
      <c r="O21" s="43">
        <f t="shared" ref="O21:O39" si="2">SUM(C21:N21)</f>
        <v>342768</v>
      </c>
    </row>
    <row r="22" spans="1:16">
      <c r="A22" s="29" t="s">
        <v>718</v>
      </c>
      <c r="B22" s="4" t="s">
        <v>66</v>
      </c>
      <c r="C22" s="14">
        <f>+'GEN. O.H'!F22</f>
        <v>1589.0604545454544</v>
      </c>
      <c r="D22" s="14">
        <f>+'GEN. O.H'!G22</f>
        <v>1589.0604545454544</v>
      </c>
      <c r="E22" s="14">
        <f>+'GEN. O.H'!H22</f>
        <v>1589.0604545454544</v>
      </c>
      <c r="F22" s="14">
        <f>+'GEN. O.H'!I22</f>
        <v>1589.0604545454544</v>
      </c>
      <c r="G22" s="14">
        <f>+'GEN. O.H'!J22</f>
        <v>1589.0604545454544</v>
      </c>
      <c r="H22" s="14">
        <f>+'GEN. O.H'!K22</f>
        <v>1589.0604545454544</v>
      </c>
      <c r="I22" s="14">
        <f>+'GEN. O.H'!L22</f>
        <v>1589.0604545454544</v>
      </c>
      <c r="J22" s="14">
        <f>+'GEN. O.H'!M22</f>
        <v>1589.0604545454544</v>
      </c>
      <c r="K22" s="14">
        <f>+'GEN. O.H'!N22</f>
        <v>1589.0604545454544</v>
      </c>
      <c r="L22" s="14">
        <f>+'GEN. O.H'!O22</f>
        <v>1589.0604545454544</v>
      </c>
      <c r="M22" s="14">
        <f>+'GEN. O.H'!P22</f>
        <v>1589.0604545454544</v>
      </c>
      <c r="N22" s="14">
        <f>+'GEN. O.H'!Q22</f>
        <v>1589.0604545454544</v>
      </c>
      <c r="O22" s="43">
        <f t="shared" si="2"/>
        <v>19068.725454545456</v>
      </c>
    </row>
    <row r="23" spans="1:16">
      <c r="A23" s="29" t="s">
        <v>718</v>
      </c>
      <c r="B23" s="4" t="s">
        <v>67</v>
      </c>
      <c r="C23" s="14">
        <f>+'GEN. O.H'!F23</f>
        <v>8028.4036363636369</v>
      </c>
      <c r="D23" s="14">
        <f>+'GEN. O.H'!G23</f>
        <v>8028.4036363636369</v>
      </c>
      <c r="E23" s="14">
        <f>+'GEN. O.H'!H23</f>
        <v>8028.4036363636369</v>
      </c>
      <c r="F23" s="14">
        <f>+'GEN. O.H'!I23</f>
        <v>8028.4036363636369</v>
      </c>
      <c r="G23" s="14">
        <f>+'GEN. O.H'!J23</f>
        <v>8028.4036363636369</v>
      </c>
      <c r="H23" s="14">
        <f>+'GEN. O.H'!K23</f>
        <v>8028.4036363636369</v>
      </c>
      <c r="I23" s="14">
        <f>+'GEN. O.H'!L23</f>
        <v>8028.4036363636369</v>
      </c>
      <c r="J23" s="14">
        <f>+'GEN. O.H'!M23</f>
        <v>8028.4036363636369</v>
      </c>
      <c r="K23" s="14">
        <f>+'GEN. O.H'!N23</f>
        <v>8028.4036363636369</v>
      </c>
      <c r="L23" s="14">
        <f>+'GEN. O.H'!O23</f>
        <v>8028.4036363636369</v>
      </c>
      <c r="M23" s="14">
        <f>+'GEN. O.H'!P23</f>
        <v>8028.4036363636369</v>
      </c>
      <c r="N23" s="14">
        <f>+'GEN. O.H'!Q23</f>
        <v>8028.4036363636369</v>
      </c>
      <c r="O23" s="43">
        <f t="shared" si="2"/>
        <v>96340.843636363672</v>
      </c>
    </row>
    <row r="24" spans="1:16">
      <c r="A24" s="29" t="s">
        <v>718</v>
      </c>
      <c r="B24" s="4" t="s">
        <v>68</v>
      </c>
      <c r="C24" s="14">
        <f>+'GEN. O.H'!F24</f>
        <v>394.27272727272725</v>
      </c>
      <c r="D24" s="14">
        <f>+'GEN. O.H'!G24</f>
        <v>394.27272727272725</v>
      </c>
      <c r="E24" s="14">
        <f>+'GEN. O.H'!H24</f>
        <v>394.27272727272725</v>
      </c>
      <c r="F24" s="14">
        <f>+'GEN. O.H'!I24</f>
        <v>394.27272727272725</v>
      </c>
      <c r="G24" s="14">
        <f>+'GEN. O.H'!J24</f>
        <v>394.27272727272725</v>
      </c>
      <c r="H24" s="14">
        <f>+'GEN. O.H'!K24</f>
        <v>394.27272727272725</v>
      </c>
      <c r="I24" s="14">
        <f>+'GEN. O.H'!L24</f>
        <v>394.27272727272725</v>
      </c>
      <c r="J24" s="14">
        <f>+'GEN. O.H'!M24</f>
        <v>394.27272727272725</v>
      </c>
      <c r="K24" s="14">
        <f>+'GEN. O.H'!N24</f>
        <v>394.27272727272725</v>
      </c>
      <c r="L24" s="14">
        <f>+'GEN. O.H'!O24</f>
        <v>394.27272727272725</v>
      </c>
      <c r="M24" s="14">
        <f>+'GEN. O.H'!P24</f>
        <v>394.27272727272725</v>
      </c>
      <c r="N24" s="14">
        <f>+'GEN. O.H'!Q24</f>
        <v>394.27272727272725</v>
      </c>
      <c r="O24" s="43">
        <f t="shared" si="2"/>
        <v>4731.2727272727261</v>
      </c>
    </row>
    <row r="25" spans="1:16">
      <c r="A25" s="29" t="s">
        <v>718</v>
      </c>
      <c r="B25" s="4" t="s">
        <v>69</v>
      </c>
      <c r="C25" s="14">
        <f>+'GEN. O.H'!F25</f>
        <v>238</v>
      </c>
      <c r="D25" s="14">
        <f>+'GEN. O.H'!G25</f>
        <v>238</v>
      </c>
      <c r="E25" s="14">
        <f>+'GEN. O.H'!H25</f>
        <v>238</v>
      </c>
      <c r="F25" s="14">
        <f>+'GEN. O.H'!I25</f>
        <v>238</v>
      </c>
      <c r="G25" s="14">
        <f>+'GEN. O.H'!J25</f>
        <v>238</v>
      </c>
      <c r="H25" s="14">
        <f>+'GEN. O.H'!K25</f>
        <v>238</v>
      </c>
      <c r="I25" s="14">
        <f>+'GEN. O.H'!L25</f>
        <v>238</v>
      </c>
      <c r="J25" s="14">
        <f>+'GEN. O.H'!M25</f>
        <v>238</v>
      </c>
      <c r="K25" s="14">
        <f>+'GEN. O.H'!N25</f>
        <v>238</v>
      </c>
      <c r="L25" s="14">
        <f>+'GEN. O.H'!O25</f>
        <v>238</v>
      </c>
      <c r="M25" s="14">
        <f>+'GEN. O.H'!P25</f>
        <v>238</v>
      </c>
      <c r="N25" s="14">
        <f>+'GEN. O.H'!Q25</f>
        <v>238</v>
      </c>
      <c r="O25" s="43">
        <f t="shared" si="2"/>
        <v>2856</v>
      </c>
    </row>
    <row r="26" spans="1:16">
      <c r="A26" s="29" t="s">
        <v>718</v>
      </c>
      <c r="B26" s="4" t="s">
        <v>70</v>
      </c>
      <c r="C26" s="14">
        <f>+'GEN. O.H'!F26</f>
        <v>609.50181818181818</v>
      </c>
      <c r="D26" s="14">
        <f>+'GEN. O.H'!G26</f>
        <v>609.50181818181818</v>
      </c>
      <c r="E26" s="14">
        <f>+'GEN. O.H'!H26</f>
        <v>609.50181818181818</v>
      </c>
      <c r="F26" s="14">
        <f>+'GEN. O.H'!I26</f>
        <v>609.50181818181818</v>
      </c>
      <c r="G26" s="14">
        <f>+'GEN. O.H'!J26</f>
        <v>609.50181818181818</v>
      </c>
      <c r="H26" s="14">
        <f>+'GEN. O.H'!K26</f>
        <v>609.50181818181818</v>
      </c>
      <c r="I26" s="14">
        <f>+'GEN. O.H'!L26</f>
        <v>609.50181818181818</v>
      </c>
      <c r="J26" s="14">
        <f>+'GEN. O.H'!M26</f>
        <v>609.50181818181818</v>
      </c>
      <c r="K26" s="14">
        <f>+'GEN. O.H'!N26</f>
        <v>609.50181818181818</v>
      </c>
      <c r="L26" s="14">
        <f>+'GEN. O.H'!O26</f>
        <v>609.50181818181818</v>
      </c>
      <c r="M26" s="14">
        <f>+'GEN. O.H'!P26</f>
        <v>609.50181818181818</v>
      </c>
      <c r="N26" s="14">
        <f>+'GEN. O.H'!Q26</f>
        <v>609.50181818181818</v>
      </c>
      <c r="O26" s="43">
        <f t="shared" si="2"/>
        <v>7314.0218181818163</v>
      </c>
    </row>
    <row r="27" spans="1:16">
      <c r="A27" s="29" t="s">
        <v>718</v>
      </c>
      <c r="B27" s="4" t="s">
        <v>71</v>
      </c>
      <c r="C27" s="14">
        <f>+'GEN. O.H'!F27</f>
        <v>2542.6000000000004</v>
      </c>
      <c r="D27" s="14">
        <f>+'GEN. O.H'!G27</f>
        <v>2542.6000000000004</v>
      </c>
      <c r="E27" s="14">
        <f>+'GEN. O.H'!H27</f>
        <v>2542.6000000000004</v>
      </c>
      <c r="F27" s="14">
        <f>+'GEN. O.H'!I27</f>
        <v>2542.6000000000004</v>
      </c>
      <c r="G27" s="14">
        <f>+'GEN. O.H'!J27</f>
        <v>2542.6000000000004</v>
      </c>
      <c r="H27" s="14">
        <f>+'GEN. O.H'!K27</f>
        <v>2542.6000000000004</v>
      </c>
      <c r="I27" s="14">
        <f>+'GEN. O.H'!L27</f>
        <v>2542.6000000000004</v>
      </c>
      <c r="J27" s="14">
        <f>+'GEN. O.H'!M27</f>
        <v>2542.6000000000004</v>
      </c>
      <c r="K27" s="14">
        <f>+'GEN. O.H'!N27</f>
        <v>2542.6000000000004</v>
      </c>
      <c r="L27" s="14">
        <f>+'GEN. O.H'!O27</f>
        <v>2542.6000000000004</v>
      </c>
      <c r="M27" s="14">
        <f>+'GEN. O.H'!P27</f>
        <v>2542.6000000000004</v>
      </c>
      <c r="N27" s="14">
        <f>+'GEN. O.H'!Q27</f>
        <v>2542.6000000000004</v>
      </c>
      <c r="O27" s="43">
        <f t="shared" si="2"/>
        <v>30511.199999999997</v>
      </c>
    </row>
    <row r="28" spans="1:16">
      <c r="A28" s="29" t="s">
        <v>718</v>
      </c>
      <c r="B28" s="4" t="s">
        <v>72</v>
      </c>
      <c r="C28" s="14">
        <f>+'GEN. O.H'!F28</f>
        <v>874.72000000000014</v>
      </c>
      <c r="D28" s="14">
        <f>+'GEN. O.H'!G28</f>
        <v>874.72000000000014</v>
      </c>
      <c r="E28" s="14">
        <f>+'GEN. O.H'!H28</f>
        <v>874.72000000000014</v>
      </c>
      <c r="F28" s="14">
        <f>+'GEN. O.H'!I28</f>
        <v>874.72000000000014</v>
      </c>
      <c r="G28" s="14">
        <f>+'GEN. O.H'!J28</f>
        <v>874.72000000000014</v>
      </c>
      <c r="H28" s="14">
        <f>+'GEN. O.H'!K28</f>
        <v>874.72000000000014</v>
      </c>
      <c r="I28" s="14">
        <f>+'GEN. O.H'!L28</f>
        <v>874.72000000000014</v>
      </c>
      <c r="J28" s="14">
        <f>+'GEN. O.H'!M28</f>
        <v>874.72000000000014</v>
      </c>
      <c r="K28" s="14">
        <f>+'GEN. O.H'!N28</f>
        <v>874.72000000000014</v>
      </c>
      <c r="L28" s="14">
        <f>+'GEN. O.H'!O28</f>
        <v>874.72000000000014</v>
      </c>
      <c r="M28" s="14">
        <f>+'GEN. O.H'!P28</f>
        <v>874.72000000000014</v>
      </c>
      <c r="N28" s="14">
        <f>+'GEN. O.H'!Q28</f>
        <v>874.72000000000014</v>
      </c>
      <c r="O28" s="43">
        <f t="shared" si="2"/>
        <v>10496.64</v>
      </c>
    </row>
    <row r="29" spans="1:16">
      <c r="A29" s="29" t="s">
        <v>718</v>
      </c>
      <c r="B29" s="4" t="s">
        <v>73</v>
      </c>
      <c r="C29" s="14">
        <f>+'GEN. O.H'!F29</f>
        <v>393.39968181818188</v>
      </c>
      <c r="D29" s="14">
        <f>+'GEN. O.H'!G29</f>
        <v>393.39968181818188</v>
      </c>
      <c r="E29" s="14">
        <f>+'GEN. O.H'!H29</f>
        <v>393.39968181818188</v>
      </c>
      <c r="F29" s="14">
        <f>+'GEN. O.H'!I29</f>
        <v>393.39968181818188</v>
      </c>
      <c r="G29" s="14">
        <f>+'GEN. O.H'!J29</f>
        <v>393.39968181818188</v>
      </c>
      <c r="H29" s="14">
        <f>+'GEN. O.H'!K29</f>
        <v>393.39968181818188</v>
      </c>
      <c r="I29" s="14">
        <f>+'GEN. O.H'!L29</f>
        <v>393.39968181818188</v>
      </c>
      <c r="J29" s="14">
        <f>+'GEN. O.H'!M29</f>
        <v>393.39968181818188</v>
      </c>
      <c r="K29" s="14">
        <f>+'GEN. O.H'!N29</f>
        <v>393.39968181818188</v>
      </c>
      <c r="L29" s="14">
        <f>+'GEN. O.H'!O29</f>
        <v>393.39968181818188</v>
      </c>
      <c r="M29" s="14">
        <f>+'GEN. O.H'!P29</f>
        <v>393.39968181818188</v>
      </c>
      <c r="N29" s="14">
        <f>+'GEN. O.H'!Q29</f>
        <v>393.39968181818188</v>
      </c>
      <c r="O29" s="43">
        <f t="shared" si="2"/>
        <v>4720.796181818182</v>
      </c>
    </row>
    <row r="30" spans="1:16">
      <c r="A30" s="29" t="s">
        <v>718</v>
      </c>
      <c r="B30" t="s">
        <v>74</v>
      </c>
      <c r="C30" s="14">
        <f>+'GEN. O.H'!F30</f>
        <v>549.1</v>
      </c>
      <c r="D30" s="14">
        <f>+'GEN. O.H'!G30</f>
        <v>549.1</v>
      </c>
      <c r="E30" s="14">
        <f>+'GEN. O.H'!H30</f>
        <v>549.1</v>
      </c>
      <c r="F30" s="14">
        <f>+'GEN. O.H'!I30</f>
        <v>549.1</v>
      </c>
      <c r="G30" s="14">
        <f>+'GEN. O.H'!J30</f>
        <v>549.1</v>
      </c>
      <c r="H30" s="14">
        <f>+'GEN. O.H'!K30</f>
        <v>549.1</v>
      </c>
      <c r="I30" s="14">
        <f>+'GEN. O.H'!L30</f>
        <v>549.1</v>
      </c>
      <c r="J30" s="14">
        <f>+'GEN. O.H'!M30</f>
        <v>549.1</v>
      </c>
      <c r="K30" s="14">
        <f>+'GEN. O.H'!N30</f>
        <v>549.1</v>
      </c>
      <c r="L30" s="14">
        <f>+'GEN. O.H'!O30</f>
        <v>549.1</v>
      </c>
      <c r="M30" s="14">
        <f>+'GEN. O.H'!P30</f>
        <v>549.1</v>
      </c>
      <c r="N30" s="14">
        <f>+'GEN. O.H'!Q30</f>
        <v>549.1</v>
      </c>
      <c r="O30" s="43">
        <f t="shared" si="2"/>
        <v>6589.2000000000016</v>
      </c>
    </row>
    <row r="31" spans="1:16">
      <c r="A31" s="29" t="s">
        <v>718</v>
      </c>
      <c r="B31" s="4" t="s">
        <v>75</v>
      </c>
      <c r="C31" s="14">
        <f>+'GEN. O.H'!F31</f>
        <v>1245.8181818181818</v>
      </c>
      <c r="D31" s="14">
        <f>+'GEN. O.H'!G31</f>
        <v>1245.8181818181818</v>
      </c>
      <c r="E31" s="14">
        <f>+'GEN. O.H'!H31</f>
        <v>1245.8181818181818</v>
      </c>
      <c r="F31" s="14">
        <f>+'GEN. O.H'!I31</f>
        <v>1245.8181818181818</v>
      </c>
      <c r="G31" s="14">
        <f>+'GEN. O.H'!J31</f>
        <v>1245.8181818181818</v>
      </c>
      <c r="H31" s="14">
        <f>+'GEN. O.H'!K31</f>
        <v>1245.8181818181818</v>
      </c>
      <c r="I31" s="14">
        <f>+'GEN. O.H'!L31</f>
        <v>1245.8181818181818</v>
      </c>
      <c r="J31" s="14">
        <f>+'GEN. O.H'!M31</f>
        <v>1245.8181818181818</v>
      </c>
      <c r="K31" s="14">
        <f>+'GEN. O.H'!N31</f>
        <v>1245.8181818181818</v>
      </c>
      <c r="L31" s="14">
        <f>+'GEN. O.H'!O31</f>
        <v>1245.8181818181818</v>
      </c>
      <c r="M31" s="14">
        <f>+'GEN. O.H'!P31</f>
        <v>1245.8181818181818</v>
      </c>
      <c r="N31" s="14">
        <f>+'GEN. O.H'!Q31</f>
        <v>1245.8181818181818</v>
      </c>
      <c r="O31" s="43">
        <f>SUM(C31:N31)</f>
        <v>14949.818181818182</v>
      </c>
    </row>
    <row r="32" spans="1:16">
      <c r="A32" s="29" t="s">
        <v>718</v>
      </c>
      <c r="B32" s="4" t="s">
        <v>76</v>
      </c>
      <c r="C32" s="14">
        <f>+'GEN. O.H'!F32</f>
        <v>1034.6795454545454</v>
      </c>
      <c r="D32" s="14">
        <f>+'GEN. O.H'!G32</f>
        <v>1034.6795454545454</v>
      </c>
      <c r="E32" s="14">
        <f>+'GEN. O.H'!H32</f>
        <v>1034.6795454545454</v>
      </c>
      <c r="F32" s="14">
        <f>+'GEN. O.H'!I32</f>
        <v>1034.6795454545454</v>
      </c>
      <c r="G32" s="14">
        <f>+'GEN. O.H'!J32</f>
        <v>1034.6795454545454</v>
      </c>
      <c r="H32" s="14">
        <f>+'GEN. O.H'!K32</f>
        <v>1034.6795454545454</v>
      </c>
      <c r="I32" s="14">
        <f>+'GEN. O.H'!L32</f>
        <v>1034.6795454545454</v>
      </c>
      <c r="J32" s="14">
        <f>+'GEN. O.H'!M32</f>
        <v>1034.6795454545454</v>
      </c>
      <c r="K32" s="14">
        <f>+'GEN. O.H'!N32</f>
        <v>1034.6795454545454</v>
      </c>
      <c r="L32" s="14">
        <f>+'GEN. O.H'!O32</f>
        <v>1034.6795454545454</v>
      </c>
      <c r="M32" s="14">
        <f>+'GEN. O.H'!P32</f>
        <v>1034.6795454545454</v>
      </c>
      <c r="N32" s="14">
        <f>+'GEN. O.H'!Q32</f>
        <v>1034.6795454545454</v>
      </c>
      <c r="O32" s="43">
        <f t="shared" si="2"/>
        <v>12416.154545454548</v>
      </c>
    </row>
    <row r="33" spans="1:16">
      <c r="A33" s="29" t="s">
        <v>718</v>
      </c>
      <c r="B33" s="4" t="s">
        <v>77</v>
      </c>
      <c r="C33" s="14">
        <f>+'GEN. O.H'!F33</f>
        <v>106.90909090909091</v>
      </c>
      <c r="D33" s="14">
        <f>+'GEN. O.H'!G33</f>
        <v>106.90909090909091</v>
      </c>
      <c r="E33" s="14">
        <f>+'GEN. O.H'!H33</f>
        <v>106.90909090909091</v>
      </c>
      <c r="F33" s="14">
        <f>+'GEN. O.H'!I33</f>
        <v>106.90909090909091</v>
      </c>
      <c r="G33" s="14">
        <f>+'GEN. O.H'!J33</f>
        <v>106.90909090909091</v>
      </c>
      <c r="H33" s="14">
        <f>+'GEN. O.H'!K33</f>
        <v>106.90909090909091</v>
      </c>
      <c r="I33" s="14">
        <f>+'GEN. O.H'!L33</f>
        <v>106.90909090909091</v>
      </c>
      <c r="J33" s="14">
        <f>+'GEN. O.H'!M33</f>
        <v>106.90909090909091</v>
      </c>
      <c r="K33" s="14">
        <f>+'GEN. O.H'!N33</f>
        <v>106.90909090909091</v>
      </c>
      <c r="L33" s="14">
        <f>+'GEN. O.H'!O33</f>
        <v>106.90909090909091</v>
      </c>
      <c r="M33" s="14">
        <f>+'GEN. O.H'!P33</f>
        <v>106.90909090909091</v>
      </c>
      <c r="N33" s="14">
        <f>+'GEN. O.H'!Q33</f>
        <v>106.90909090909091</v>
      </c>
      <c r="O33" s="43">
        <f t="shared" si="2"/>
        <v>1282.909090909091</v>
      </c>
    </row>
    <row r="34" spans="1:16">
      <c r="A34" s="29" t="s">
        <v>718</v>
      </c>
      <c r="B34" s="4" t="s">
        <v>78</v>
      </c>
      <c r="C34" s="14">
        <f>+'GEN. O.H'!F34</f>
        <v>381.81818181818181</v>
      </c>
      <c r="D34" s="14">
        <f>+'GEN. O.H'!G34</f>
        <v>381.81818181818181</v>
      </c>
      <c r="E34" s="14">
        <f>+'GEN. O.H'!H34</f>
        <v>381.81818181818181</v>
      </c>
      <c r="F34" s="14">
        <f>+'GEN. O.H'!I34</f>
        <v>381.81818181818181</v>
      </c>
      <c r="G34" s="14">
        <f>+'GEN. O.H'!J34</f>
        <v>381.81818181818181</v>
      </c>
      <c r="H34" s="14">
        <f>+'GEN. O.H'!K34</f>
        <v>381.81818181818181</v>
      </c>
      <c r="I34" s="14">
        <f>+'GEN. O.H'!L34</f>
        <v>381.81818181818181</v>
      </c>
      <c r="J34" s="14">
        <f>+'GEN. O.H'!M34</f>
        <v>381.81818181818181</v>
      </c>
      <c r="K34" s="14">
        <f>+'GEN. O.H'!N34</f>
        <v>381.81818181818181</v>
      </c>
      <c r="L34" s="14">
        <f>+'GEN. O.H'!O34</f>
        <v>381.81818181818181</v>
      </c>
      <c r="M34" s="14">
        <f>+'GEN. O.H'!P34</f>
        <v>381.81818181818181</v>
      </c>
      <c r="N34" s="14">
        <f>+'GEN. O.H'!Q34</f>
        <v>381.81818181818181</v>
      </c>
      <c r="O34" s="43">
        <f t="shared" si="2"/>
        <v>4581.8181818181829</v>
      </c>
    </row>
    <row r="35" spans="1:16">
      <c r="A35" s="29" t="s">
        <v>718</v>
      </c>
      <c r="B35" s="4" t="s">
        <v>79</v>
      </c>
      <c r="C35" s="14"/>
      <c r="D35" s="14"/>
      <c r="E35" s="14">
        <v>1554</v>
      </c>
      <c r="F35" s="14"/>
      <c r="G35" s="14"/>
      <c r="H35" s="14">
        <v>1554</v>
      </c>
      <c r="I35" s="14"/>
      <c r="J35" s="14"/>
      <c r="K35" s="14">
        <v>1554</v>
      </c>
      <c r="L35" s="14"/>
      <c r="M35" s="14"/>
      <c r="N35" s="14">
        <v>1554</v>
      </c>
      <c r="O35" s="43">
        <f t="shared" si="2"/>
        <v>6216</v>
      </c>
    </row>
    <row r="36" spans="1:16">
      <c r="A36" s="29" t="s">
        <v>718</v>
      </c>
      <c r="B36" s="4" t="s">
        <v>80</v>
      </c>
      <c r="C36" s="14">
        <f>+'GEN. O.H'!F36</f>
        <v>47</v>
      </c>
      <c r="D36" s="14">
        <f>+'GEN. O.H'!G36</f>
        <v>47</v>
      </c>
      <c r="E36" s="14">
        <f>+'GEN. O.H'!H36</f>
        <v>47</v>
      </c>
      <c r="F36" s="14">
        <f>+'GEN. O.H'!I36</f>
        <v>47</v>
      </c>
      <c r="G36" s="14">
        <f>+'GEN. O.H'!J36</f>
        <v>47</v>
      </c>
      <c r="H36" s="14">
        <f>+'GEN. O.H'!K36</f>
        <v>47</v>
      </c>
      <c r="I36" s="14">
        <f>+'GEN. O.H'!L36</f>
        <v>47</v>
      </c>
      <c r="J36" s="14">
        <f>+'GEN. O.H'!M36</f>
        <v>47</v>
      </c>
      <c r="K36" s="14">
        <f>+'GEN. O.H'!N36</f>
        <v>47</v>
      </c>
      <c r="L36" s="14">
        <f>+'GEN. O.H'!O36</f>
        <v>47</v>
      </c>
      <c r="M36" s="14">
        <f>+'GEN. O.H'!P36</f>
        <v>47</v>
      </c>
      <c r="N36" s="14">
        <f>+'GEN. O.H'!Q36</f>
        <v>47</v>
      </c>
      <c r="O36" s="43">
        <f t="shared" si="2"/>
        <v>564</v>
      </c>
    </row>
    <row r="37" spans="1:16">
      <c r="A37" s="29" t="s">
        <v>718</v>
      </c>
      <c r="B37" s="4" t="s">
        <v>81</v>
      </c>
      <c r="C37" s="14"/>
      <c r="D37" s="14"/>
      <c r="E37" s="14">
        <v>11725</v>
      </c>
      <c r="F37" s="14"/>
      <c r="G37" s="14"/>
      <c r="H37" s="14"/>
      <c r="I37" s="14"/>
      <c r="J37" s="14"/>
      <c r="K37" s="14"/>
      <c r="L37" s="14"/>
      <c r="M37" s="14"/>
      <c r="N37" s="14"/>
      <c r="O37" s="43">
        <f t="shared" si="2"/>
        <v>11725</v>
      </c>
      <c r="P37" s="45"/>
    </row>
    <row r="38" spans="1:16">
      <c r="A38" s="29" t="s">
        <v>718</v>
      </c>
      <c r="B38" s="4" t="s">
        <v>82</v>
      </c>
      <c r="C38" s="14">
        <f>+'GEN. O.H'!F38</f>
        <v>1318</v>
      </c>
      <c r="D38" s="14">
        <f>+'GEN. O.H'!G38</f>
        <v>1318</v>
      </c>
      <c r="E38" s="14">
        <f>+'GEN. O.H'!H38</f>
        <v>1318</v>
      </c>
      <c r="F38" s="14">
        <f>+'GEN. O.H'!I38</f>
        <v>1318</v>
      </c>
      <c r="G38" s="14">
        <f>+'GEN. O.H'!J38</f>
        <v>1318</v>
      </c>
      <c r="H38" s="14">
        <f>+'GEN. O.H'!K38</f>
        <v>1318</v>
      </c>
      <c r="I38" s="14">
        <f>+'GEN. O.H'!L38</f>
        <v>1318</v>
      </c>
      <c r="J38" s="14">
        <f>+'GEN. O.H'!M38</f>
        <v>1318</v>
      </c>
      <c r="K38" s="14">
        <f>+'GEN. O.H'!N38</f>
        <v>1318</v>
      </c>
      <c r="L38" s="14">
        <f>+'GEN. O.H'!O38</f>
        <v>1318</v>
      </c>
      <c r="M38" s="14">
        <f>+'GEN. O.H'!P38</f>
        <v>1318</v>
      </c>
      <c r="N38" s="14">
        <f>+'GEN. O.H'!Q38</f>
        <v>1318</v>
      </c>
      <c r="O38" s="43">
        <f t="shared" si="2"/>
        <v>15816</v>
      </c>
      <c r="P38" s="45"/>
    </row>
    <row r="39" spans="1:16">
      <c r="A39" s="29" t="s">
        <v>718</v>
      </c>
      <c r="B39" s="4" t="s">
        <v>60</v>
      </c>
      <c r="C39" s="14">
        <f>+'GEN. O.H'!F39</f>
        <v>0</v>
      </c>
      <c r="D39" s="14">
        <f>+'GEN. O.H'!G39</f>
        <v>0</v>
      </c>
      <c r="E39" s="14">
        <f>+'GEN. O.H'!H39</f>
        <v>0</v>
      </c>
      <c r="F39" s="14">
        <f>+'GEN. O.H'!I39</f>
        <v>0</v>
      </c>
      <c r="G39" s="14">
        <f>+'GEN. O.H'!J39</f>
        <v>0</v>
      </c>
      <c r="H39" s="14">
        <f>+'GEN. O.H'!K39</f>
        <v>0</v>
      </c>
      <c r="I39" s="14">
        <f>+'GEN. O.H'!L39</f>
        <v>0</v>
      </c>
      <c r="J39" s="14">
        <f>+'GEN. O.H'!M39</f>
        <v>0</v>
      </c>
      <c r="K39" s="14">
        <f>+'GEN. O.H'!N39</f>
        <v>0</v>
      </c>
      <c r="L39" s="14">
        <f>+'GEN. O.H'!O39</f>
        <v>0</v>
      </c>
      <c r="M39" s="14">
        <f>+'GEN. O.H'!P39</f>
        <v>0</v>
      </c>
      <c r="N39" s="14">
        <f>+'GEN. O.H'!Q39</f>
        <v>0</v>
      </c>
      <c r="O39" s="43">
        <f t="shared" si="2"/>
        <v>0</v>
      </c>
      <c r="P39" s="45"/>
    </row>
    <row r="40" spans="1:16">
      <c r="A40" s="29"/>
      <c r="B40" s="82" t="s">
        <v>83</v>
      </c>
      <c r="C40" s="51">
        <f t="shared" ref="C40:O40" si="3">SUM(C21:C39)</f>
        <v>19353.283318181821</v>
      </c>
      <c r="D40" s="51">
        <f t="shared" si="3"/>
        <v>133609.28331818181</v>
      </c>
      <c r="E40" s="51">
        <f t="shared" si="3"/>
        <v>32632.283318181821</v>
      </c>
      <c r="F40" s="51">
        <f t="shared" si="3"/>
        <v>19353.283318181821</v>
      </c>
      <c r="G40" s="51">
        <f t="shared" si="3"/>
        <v>19353.283318181821</v>
      </c>
      <c r="H40" s="51">
        <f t="shared" si="3"/>
        <v>135163.28331818181</v>
      </c>
      <c r="I40" s="51">
        <f t="shared" si="3"/>
        <v>19353.283318181821</v>
      </c>
      <c r="J40" s="51">
        <f t="shared" si="3"/>
        <v>19353.283318181821</v>
      </c>
      <c r="K40" s="51">
        <f t="shared" si="3"/>
        <v>20907.283318181821</v>
      </c>
      <c r="L40" s="51">
        <f t="shared" si="3"/>
        <v>133609.28331818181</v>
      </c>
      <c r="M40" s="51">
        <f t="shared" si="3"/>
        <v>19353.283318181821</v>
      </c>
      <c r="N40" s="51">
        <f t="shared" si="3"/>
        <v>20907.283318181821</v>
      </c>
      <c r="O40" s="87">
        <f t="shared" si="3"/>
        <v>592948.39981818188</v>
      </c>
      <c r="P40" s="45">
        <f>SUM(C40:N40)</f>
        <v>592948.39981818188</v>
      </c>
    </row>
    <row r="41" spans="1:16">
      <c r="A41" s="29"/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53"/>
    </row>
    <row r="42" spans="1:16">
      <c r="A42" s="29"/>
      <c r="B42" s="47" t="s">
        <v>84</v>
      </c>
      <c r="C42" s="273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43"/>
      <c r="P42" s="14"/>
    </row>
    <row r="43" spans="1:16">
      <c r="A43" s="29" t="s">
        <v>718</v>
      </c>
      <c r="B43" s="4" t="s">
        <v>85</v>
      </c>
      <c r="C43" s="14">
        <f>+'GEN. O.H'!F44</f>
        <v>488.05909090909091</v>
      </c>
      <c r="D43" s="14">
        <f>+'GEN. O.H'!G44</f>
        <v>488.05909090909091</v>
      </c>
      <c r="E43" s="14">
        <f>+'GEN. O.H'!H44</f>
        <v>488.05909090909091</v>
      </c>
      <c r="F43" s="14">
        <f>+'GEN. O.H'!I44</f>
        <v>488.05909090909091</v>
      </c>
      <c r="G43" s="14">
        <f>+'GEN. O.H'!J44</f>
        <v>488.05909090909091</v>
      </c>
      <c r="H43" s="14">
        <f>+'GEN. O.H'!K44</f>
        <v>488.05909090909091</v>
      </c>
      <c r="I43" s="14">
        <f>+'GEN. O.H'!L44</f>
        <v>488.05909090909091</v>
      </c>
      <c r="J43" s="14">
        <f>+'GEN. O.H'!M44</f>
        <v>488.05909090909091</v>
      </c>
      <c r="K43" s="14">
        <f>+'GEN. O.H'!N44</f>
        <v>488.05909090909091</v>
      </c>
      <c r="L43" s="14">
        <f>+'GEN. O.H'!O44</f>
        <v>488.05909090909091</v>
      </c>
      <c r="M43" s="14">
        <f>+'GEN. O.H'!P44</f>
        <v>488.05909090909091</v>
      </c>
      <c r="N43" s="14">
        <f>+'GEN. O.H'!Q44</f>
        <v>488.05909090909091</v>
      </c>
      <c r="O43" s="43">
        <f>SUM(C43:N43)</f>
        <v>5856.7090909090903</v>
      </c>
      <c r="P43" s="14"/>
    </row>
    <row r="44" spans="1:16">
      <c r="A44" s="495" t="s">
        <v>719</v>
      </c>
      <c r="B44" s="4" t="s">
        <v>86</v>
      </c>
      <c r="C44" s="14">
        <f>+'GEN. O.H'!F45</f>
        <v>393.7595454545455</v>
      </c>
      <c r="D44" s="14">
        <f>+'GEN. O.H'!G45</f>
        <v>393.7595454545455</v>
      </c>
      <c r="E44" s="14">
        <f>+'GEN. O.H'!H45</f>
        <v>393.7595454545455</v>
      </c>
      <c r="F44" s="14">
        <f>+'GEN. O.H'!I45</f>
        <v>393.7595454545455</v>
      </c>
      <c r="G44" s="14">
        <f>+'GEN. O.H'!J45</f>
        <v>393.7595454545455</v>
      </c>
      <c r="H44" s="14">
        <f>+'GEN. O.H'!K45</f>
        <v>393.7595454545455</v>
      </c>
      <c r="I44" s="14">
        <f>+'GEN. O.H'!L45</f>
        <v>393.7595454545455</v>
      </c>
      <c r="J44" s="14">
        <f>+'GEN. O.H'!M45</f>
        <v>393.7595454545455</v>
      </c>
      <c r="K44" s="14">
        <f>+'GEN. O.H'!N45</f>
        <v>393.7595454545455</v>
      </c>
      <c r="L44" s="14">
        <f>+'GEN. O.H'!O45</f>
        <v>393.7595454545455</v>
      </c>
      <c r="M44" s="14">
        <f>+'GEN. O.H'!P45</f>
        <v>393.7595454545455</v>
      </c>
      <c r="N44" s="14">
        <f>+'GEN. O.H'!Q45</f>
        <v>393.7595454545455</v>
      </c>
      <c r="O44" s="43">
        <f>SUM(C44:N44)</f>
        <v>4725.1145454545449</v>
      </c>
      <c r="P44" s="14"/>
    </row>
    <row r="45" spans="1:16">
      <c r="A45" s="29"/>
      <c r="B45" s="21"/>
      <c r="C45" s="27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43"/>
      <c r="P45" s="14"/>
    </row>
    <row r="46" spans="1:16">
      <c r="A46" s="29"/>
      <c r="B46" s="82" t="s">
        <v>87</v>
      </c>
      <c r="C46" s="312">
        <f>SUM(C43:C45)</f>
        <v>881.81863636363641</v>
      </c>
      <c r="D46" s="51">
        <f>SUM(D43:D45)</f>
        <v>881.81863636363641</v>
      </c>
      <c r="E46" s="51">
        <f t="shared" ref="E46:O46" si="4">SUM(E43:E45)</f>
        <v>881.81863636363641</v>
      </c>
      <c r="F46" s="51">
        <f t="shared" si="4"/>
        <v>881.81863636363641</v>
      </c>
      <c r="G46" s="51">
        <f t="shared" si="4"/>
        <v>881.81863636363641</v>
      </c>
      <c r="H46" s="51">
        <f t="shared" si="4"/>
        <v>881.81863636363641</v>
      </c>
      <c r="I46" s="51">
        <f t="shared" si="4"/>
        <v>881.81863636363641</v>
      </c>
      <c r="J46" s="51">
        <f t="shared" si="4"/>
        <v>881.81863636363641</v>
      </c>
      <c r="K46" s="51">
        <f t="shared" si="4"/>
        <v>881.81863636363641</v>
      </c>
      <c r="L46" s="51">
        <f t="shared" si="4"/>
        <v>881.81863636363641</v>
      </c>
      <c r="M46" s="51">
        <f t="shared" si="4"/>
        <v>881.81863636363641</v>
      </c>
      <c r="N46" s="51">
        <f t="shared" si="4"/>
        <v>881.81863636363641</v>
      </c>
      <c r="O46" s="87">
        <f t="shared" si="4"/>
        <v>10581.823636363635</v>
      </c>
      <c r="P46" s="313">
        <f>SUM(C46:N46)</f>
        <v>10581.823636363633</v>
      </c>
    </row>
    <row r="47" spans="1:16">
      <c r="A47" s="29"/>
      <c r="B47" s="94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8"/>
      <c r="P47" s="313"/>
    </row>
    <row r="48" spans="1:16">
      <c r="A48" s="73"/>
      <c r="B48" s="47" t="s">
        <v>13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43"/>
      <c r="P48" s="313"/>
    </row>
    <row r="49" spans="1:16">
      <c r="A49" s="73" t="s">
        <v>718</v>
      </c>
      <c r="B49" s="21" t="s">
        <v>88</v>
      </c>
      <c r="C49" s="14"/>
      <c r="D49" s="14"/>
      <c r="E49" s="14">
        <v>10000</v>
      </c>
      <c r="F49" s="14"/>
      <c r="G49" s="14"/>
      <c r="H49" s="14"/>
      <c r="I49" s="14"/>
      <c r="J49" s="14"/>
      <c r="K49" s="14"/>
      <c r="L49" s="14"/>
      <c r="M49" s="14"/>
      <c r="N49" s="14"/>
      <c r="O49" s="43">
        <f>SUM(C49:N49)</f>
        <v>10000</v>
      </c>
      <c r="P49" s="313"/>
    </row>
    <row r="50" spans="1:16">
      <c r="A50" s="73" t="s">
        <v>718</v>
      </c>
      <c r="B50" s="21" t="s">
        <v>415</v>
      </c>
      <c r="C50" s="14">
        <f>+'GEN. O.H'!F51</f>
        <v>0</v>
      </c>
      <c r="D50" s="14">
        <f>+'GEN. O.H'!G51</f>
        <v>0</v>
      </c>
      <c r="E50" s="14">
        <f>+'GEN. O.H'!H51</f>
        <v>0</v>
      </c>
      <c r="F50" s="14">
        <f>+'GEN. O.H'!I51</f>
        <v>0</v>
      </c>
      <c r="G50" s="14">
        <f>+'GEN. O.H'!J51</f>
        <v>0</v>
      </c>
      <c r="H50" s="14">
        <f>+'GEN. O.H'!K51</f>
        <v>0</v>
      </c>
      <c r="I50" s="14">
        <f>+'GEN. O.H'!L51</f>
        <v>0</v>
      </c>
      <c r="J50" s="14">
        <f>+'GEN. O.H'!M51</f>
        <v>0</v>
      </c>
      <c r="K50" s="14">
        <f>+'GEN. O.H'!N51</f>
        <v>0</v>
      </c>
      <c r="L50" s="14">
        <f>+'GEN. O.H'!O51</f>
        <v>0</v>
      </c>
      <c r="M50" s="14">
        <f>+'GEN. O.H'!P51</f>
        <v>0</v>
      </c>
      <c r="N50" s="14">
        <f>+'GEN. O.H'!Q51</f>
        <v>0</v>
      </c>
      <c r="O50" s="43">
        <f>SUM(C50:N50)</f>
        <v>0</v>
      </c>
      <c r="P50" s="313"/>
    </row>
    <row r="51" spans="1:16">
      <c r="A51" s="495" t="s">
        <v>719</v>
      </c>
      <c r="B51" s="21" t="s">
        <v>185</v>
      </c>
      <c r="C51" s="14">
        <f>+'GEN. O.H'!F52</f>
        <v>2000</v>
      </c>
      <c r="D51" s="14">
        <f>+'GEN. O.H'!G52</f>
        <v>2000</v>
      </c>
      <c r="E51" s="14">
        <f>+'GEN. O.H'!H52</f>
        <v>2000</v>
      </c>
      <c r="F51" s="14">
        <f>+'GEN. O.H'!I52</f>
        <v>2000</v>
      </c>
      <c r="G51" s="14">
        <f>+'GEN. O.H'!J52</f>
        <v>2000</v>
      </c>
      <c r="H51" s="14">
        <f>+'GEN. O.H'!K52</f>
        <v>2000</v>
      </c>
      <c r="I51" s="14">
        <f>+'GEN. O.H'!L52</f>
        <v>2000</v>
      </c>
      <c r="J51" s="14">
        <f>+'GEN. O.H'!M52</f>
        <v>2000</v>
      </c>
      <c r="K51" s="14">
        <f>+'GEN. O.H'!N52</f>
        <v>2000</v>
      </c>
      <c r="L51" s="14">
        <f>+'GEN. O.H'!O52</f>
        <v>2000</v>
      </c>
      <c r="M51" s="14">
        <f>+'GEN. O.H'!P52</f>
        <v>2000</v>
      </c>
      <c r="N51" s="14">
        <f>+'GEN. O.H'!Q52</f>
        <v>2000</v>
      </c>
      <c r="O51" s="43">
        <f>SUM(C51:N51)</f>
        <v>24000</v>
      </c>
      <c r="P51" s="313"/>
    </row>
    <row r="52" spans="1:16">
      <c r="A52" s="73"/>
      <c r="B52" s="21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43"/>
      <c r="P52" s="313"/>
    </row>
    <row r="53" spans="1:16">
      <c r="A53" s="73"/>
      <c r="B53" s="165" t="s">
        <v>89</v>
      </c>
      <c r="C53" s="51">
        <f t="shared" ref="C53:O53" si="5">SUM(C49:C51)</f>
        <v>2000</v>
      </c>
      <c r="D53" s="51">
        <f t="shared" si="5"/>
        <v>2000</v>
      </c>
      <c r="E53" s="51">
        <f t="shared" si="5"/>
        <v>12000</v>
      </c>
      <c r="F53" s="51">
        <f t="shared" si="5"/>
        <v>2000</v>
      </c>
      <c r="G53" s="51">
        <f t="shared" si="5"/>
        <v>2000</v>
      </c>
      <c r="H53" s="51">
        <f t="shared" si="5"/>
        <v>2000</v>
      </c>
      <c r="I53" s="51">
        <f t="shared" si="5"/>
        <v>2000</v>
      </c>
      <c r="J53" s="51">
        <f t="shared" si="5"/>
        <v>2000</v>
      </c>
      <c r="K53" s="51">
        <f t="shared" si="5"/>
        <v>2000</v>
      </c>
      <c r="L53" s="51">
        <f t="shared" si="5"/>
        <v>2000</v>
      </c>
      <c r="M53" s="51">
        <f t="shared" si="5"/>
        <v>2000</v>
      </c>
      <c r="N53" s="51">
        <f t="shared" si="5"/>
        <v>2000</v>
      </c>
      <c r="O53" s="87">
        <f t="shared" si="5"/>
        <v>34000</v>
      </c>
      <c r="P53" s="313">
        <f>SUM(C53:N53)</f>
        <v>34000</v>
      </c>
    </row>
    <row r="54" spans="1:16">
      <c r="A54" s="73"/>
      <c r="B54" s="21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43"/>
    </row>
    <row r="55" spans="1:16">
      <c r="A55" s="73"/>
      <c r="B55" s="65" t="s">
        <v>90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43"/>
    </row>
    <row r="56" spans="1:16">
      <c r="A56" s="29" t="s">
        <v>718</v>
      </c>
      <c r="B56" s="4" t="s">
        <v>91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>
        <v>1116</v>
      </c>
      <c r="N56" s="14"/>
      <c r="O56" s="43">
        <f>SUM(C56:N56)</f>
        <v>1116</v>
      </c>
    </row>
    <row r="57" spans="1:16">
      <c r="A57" s="29" t="s">
        <v>718</v>
      </c>
      <c r="B57" s="4" t="s">
        <v>92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>
        <v>4500</v>
      </c>
      <c r="N57" s="14"/>
      <c r="O57" s="43">
        <f>SUM(C57:N57)</f>
        <v>4500</v>
      </c>
    </row>
    <row r="58" spans="1:16">
      <c r="A58" s="29"/>
      <c r="B58" s="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43">
        <f>SUM(C58:I58)</f>
        <v>0</v>
      </c>
    </row>
    <row r="59" spans="1:16">
      <c r="A59" s="29"/>
      <c r="B59" s="82" t="s">
        <v>93</v>
      </c>
      <c r="C59" s="51">
        <f t="shared" ref="C59:O59" si="6">SUM(C56:C58)</f>
        <v>0</v>
      </c>
      <c r="D59" s="51">
        <f t="shared" si="6"/>
        <v>0</v>
      </c>
      <c r="E59" s="51">
        <f t="shared" si="6"/>
        <v>0</v>
      </c>
      <c r="F59" s="51">
        <f t="shared" si="6"/>
        <v>0</v>
      </c>
      <c r="G59" s="51">
        <f t="shared" si="6"/>
        <v>0</v>
      </c>
      <c r="H59" s="51">
        <f t="shared" si="6"/>
        <v>0</v>
      </c>
      <c r="I59" s="51">
        <f t="shared" si="6"/>
        <v>0</v>
      </c>
      <c r="J59" s="51">
        <f t="shared" si="6"/>
        <v>0</v>
      </c>
      <c r="K59" s="51">
        <f t="shared" si="6"/>
        <v>0</v>
      </c>
      <c r="L59" s="51">
        <f t="shared" si="6"/>
        <v>0</v>
      </c>
      <c r="M59" s="51">
        <f t="shared" si="6"/>
        <v>5616</v>
      </c>
      <c r="N59" s="51">
        <f t="shared" si="6"/>
        <v>0</v>
      </c>
      <c r="O59" s="51">
        <f t="shared" si="6"/>
        <v>5616</v>
      </c>
      <c r="P59" s="45">
        <f>SUM(C59:N59)</f>
        <v>5616</v>
      </c>
    </row>
    <row r="60" spans="1:16">
      <c r="A60" s="73"/>
      <c r="B60" s="47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43"/>
    </row>
    <row r="61" spans="1:16">
      <c r="A61" s="73"/>
      <c r="B61" s="65" t="s">
        <v>15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43"/>
    </row>
    <row r="62" spans="1:16">
      <c r="A62" s="73" t="s">
        <v>718</v>
      </c>
      <c r="B62" s="4" t="s">
        <v>95</v>
      </c>
      <c r="C62" s="14"/>
      <c r="D62" s="14">
        <f>+'GEN. O.H'!G63</f>
        <v>5000</v>
      </c>
      <c r="E62" s="14">
        <f>+'GEN. O.H'!H63</f>
        <v>30000</v>
      </c>
      <c r="F62" s="14">
        <f>+'GEN. O.H'!I63</f>
        <v>9000</v>
      </c>
      <c r="G62" s="14">
        <f>+'GEN. O.H'!J63</f>
        <v>9000</v>
      </c>
      <c r="H62" s="14">
        <f>+'GEN. O.H'!K63</f>
        <v>7000</v>
      </c>
      <c r="I62" s="14">
        <f>+'GEN. O.H'!L63</f>
        <v>5000</v>
      </c>
      <c r="J62" s="14">
        <f>+'GEN. O.H'!M63</f>
        <v>5000</v>
      </c>
      <c r="K62" s="14">
        <f>+'GEN. O.H'!N63</f>
        <v>5000</v>
      </c>
      <c r="L62" s="14">
        <f>+'GEN. O.H'!O63</f>
        <v>6000</v>
      </c>
      <c r="M62" s="14">
        <f>+'GEN. O.H'!P63</f>
        <v>6000</v>
      </c>
      <c r="N62" s="14">
        <f>+'GEN. O.H'!Q63</f>
        <v>6000</v>
      </c>
      <c r="O62" s="43">
        <f>SUM(C62:N62)</f>
        <v>93000</v>
      </c>
    </row>
    <row r="63" spans="1:16">
      <c r="A63" s="73" t="s">
        <v>718</v>
      </c>
      <c r="B63" s="4" t="s">
        <v>96</v>
      </c>
      <c r="C63" s="14"/>
      <c r="D63" s="14">
        <f>+'GEN. O.H'!G64</f>
        <v>3000</v>
      </c>
      <c r="E63" s="14">
        <f>+'GEN. O.H'!H64</f>
        <v>20000</v>
      </c>
      <c r="F63" s="14">
        <f>+'GEN. O.H'!I64</f>
        <v>3000</v>
      </c>
      <c r="G63" s="14">
        <f>+'GEN. O.H'!J64</f>
        <v>3000</v>
      </c>
      <c r="H63" s="14">
        <f>+'GEN. O.H'!K64</f>
        <v>3000</v>
      </c>
      <c r="I63" s="14">
        <f>+'GEN. O.H'!L64</f>
        <v>3000</v>
      </c>
      <c r="J63" s="14">
        <f>+'GEN. O.H'!M64</f>
        <v>2000</v>
      </c>
      <c r="K63" s="14">
        <f>+'GEN. O.H'!N64</f>
        <v>2000</v>
      </c>
      <c r="L63" s="14">
        <f>+'GEN. O.H'!O64</f>
        <v>2000</v>
      </c>
      <c r="M63" s="14">
        <f>+'GEN. O.H'!P64</f>
        <v>2000</v>
      </c>
      <c r="N63" s="14">
        <f>+'GEN. O.H'!Q64</f>
        <v>2000</v>
      </c>
      <c r="O63" s="43">
        <f>SUM(C63:N63)</f>
        <v>45000</v>
      </c>
    </row>
    <row r="64" spans="1:16">
      <c r="A64" s="73" t="s">
        <v>718</v>
      </c>
      <c r="B64" s="21" t="s">
        <v>187</v>
      </c>
      <c r="C64" s="14"/>
      <c r="D64" s="14">
        <f>+'GEN. O.H'!G65</f>
        <v>0</v>
      </c>
      <c r="E64" s="14">
        <f>+'GEN. O.H'!H65</f>
        <v>0</v>
      </c>
      <c r="F64" s="14">
        <f>+'GEN. O.H'!I65</f>
        <v>0</v>
      </c>
      <c r="G64" s="14">
        <f>+'GEN. O.H'!J65</f>
        <v>0</v>
      </c>
      <c r="H64" s="14">
        <f>+'GEN. O.H'!K65</f>
        <v>0</v>
      </c>
      <c r="I64" s="14">
        <f>+'GEN. O.H'!L65</f>
        <v>0</v>
      </c>
      <c r="J64" s="14">
        <f>+'GEN. O.H'!M65</f>
        <v>0</v>
      </c>
      <c r="K64" s="14">
        <f>+'GEN. O.H'!N65</f>
        <v>0</v>
      </c>
      <c r="L64" s="14">
        <f>+'GEN. O.H'!O65</f>
        <v>42000</v>
      </c>
      <c r="M64" s="14">
        <f>+'GEN. O.H'!P65</f>
        <v>0</v>
      </c>
      <c r="N64" s="14">
        <f>+'GEN. O.H'!Q65</f>
        <v>0</v>
      </c>
      <c r="O64" s="43">
        <f>SUM(C64:N64)</f>
        <v>42000</v>
      </c>
    </row>
    <row r="65" spans="1:16">
      <c r="A65" s="73" t="s">
        <v>718</v>
      </c>
      <c r="B65" s="21" t="s">
        <v>188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43"/>
    </row>
    <row r="66" spans="1:16">
      <c r="A66" s="73"/>
      <c r="B66" s="21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43"/>
    </row>
    <row r="67" spans="1:16">
      <c r="A67" s="73"/>
      <c r="B67" s="82" t="s">
        <v>97</v>
      </c>
      <c r="C67" s="51">
        <f t="shared" ref="C67:O67" si="7">SUM(C62:C65)</f>
        <v>0</v>
      </c>
      <c r="D67" s="51">
        <f t="shared" si="7"/>
        <v>8000</v>
      </c>
      <c r="E67" s="51">
        <f t="shared" si="7"/>
        <v>50000</v>
      </c>
      <c r="F67" s="51">
        <f t="shared" si="7"/>
        <v>12000</v>
      </c>
      <c r="G67" s="51">
        <f t="shared" si="7"/>
        <v>12000</v>
      </c>
      <c r="H67" s="51">
        <f t="shared" si="7"/>
        <v>10000</v>
      </c>
      <c r="I67" s="51">
        <f t="shared" si="7"/>
        <v>8000</v>
      </c>
      <c r="J67" s="51">
        <f t="shared" si="7"/>
        <v>7000</v>
      </c>
      <c r="K67" s="51">
        <f t="shared" si="7"/>
        <v>7000</v>
      </c>
      <c r="L67" s="51">
        <f t="shared" si="7"/>
        <v>50000</v>
      </c>
      <c r="M67" s="51">
        <f t="shared" si="7"/>
        <v>8000</v>
      </c>
      <c r="N67" s="51">
        <f t="shared" si="7"/>
        <v>8000</v>
      </c>
      <c r="O67" s="87">
        <f t="shared" si="7"/>
        <v>180000</v>
      </c>
      <c r="P67" s="45">
        <f>SUM(C67:N67)</f>
        <v>180000</v>
      </c>
    </row>
    <row r="68" spans="1:16">
      <c r="A68" s="7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43"/>
    </row>
    <row r="69" spans="1:16">
      <c r="A69" s="73"/>
      <c r="B69" s="65" t="s">
        <v>16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43"/>
    </row>
    <row r="70" spans="1:16">
      <c r="A70" s="73" t="s">
        <v>718</v>
      </c>
      <c r="B70" t="s">
        <v>98</v>
      </c>
      <c r="C70" s="14">
        <f>+'GEN. O.H'!F71</f>
        <v>0</v>
      </c>
      <c r="D70" s="14">
        <f>+'GEN. O.H'!G71</f>
        <v>0</v>
      </c>
      <c r="E70" s="14">
        <f>+'GEN. O.H'!H71</f>
        <v>0</v>
      </c>
      <c r="F70" s="14">
        <f>+'GEN. O.H'!I71</f>
        <v>0</v>
      </c>
      <c r="G70" s="14">
        <f>+'GEN. O.H'!J71</f>
        <v>0</v>
      </c>
      <c r="H70" s="14">
        <f>+'GEN. O.H'!K71</f>
        <v>0</v>
      </c>
      <c r="I70" s="14">
        <f>+'GEN. O.H'!L71</f>
        <v>0</v>
      </c>
      <c r="J70" s="14">
        <f>+'GEN. O.H'!M71</f>
        <v>0</v>
      </c>
      <c r="K70" s="14">
        <f>+'GEN. O.H'!N71</f>
        <v>0</v>
      </c>
      <c r="L70" s="14">
        <f>+'GEN. O.H'!O71</f>
        <v>0</v>
      </c>
      <c r="M70" s="14">
        <f>+'GEN. O.H'!P71</f>
        <v>0</v>
      </c>
      <c r="N70" s="14">
        <f>+'GEN. O.H'!Q71</f>
        <v>0</v>
      </c>
      <c r="O70" s="43">
        <f>SUM(C70:N70)</f>
        <v>0</v>
      </c>
    </row>
    <row r="71" spans="1:16">
      <c r="A71" s="73" t="s">
        <v>718</v>
      </c>
      <c r="B71" t="s">
        <v>706</v>
      </c>
      <c r="C71" s="14">
        <f>+'GEN. O.H'!F72</f>
        <v>0</v>
      </c>
      <c r="D71" s="14">
        <f>+'GEN. O.H'!G72</f>
        <v>0</v>
      </c>
      <c r="E71" s="14">
        <f>+'GEN. O.H'!H72</f>
        <v>0</v>
      </c>
      <c r="F71" s="14">
        <f>+'GEN. O.H'!I72</f>
        <v>0</v>
      </c>
      <c r="G71" s="14">
        <f>+'GEN. O.H'!J72</f>
        <v>0</v>
      </c>
      <c r="H71" s="14">
        <f>+'GEN. O.H'!K72</f>
        <v>0</v>
      </c>
      <c r="I71" s="14">
        <f>+'GEN. O.H'!L72</f>
        <v>0</v>
      </c>
      <c r="J71" s="14">
        <f>+'GEN. O.H'!M72</f>
        <v>0</v>
      </c>
      <c r="K71" s="14">
        <f>+'GEN. O.H'!N72</f>
        <v>0</v>
      </c>
      <c r="L71" s="14">
        <f>+'GEN. O.H'!O72</f>
        <v>0</v>
      </c>
      <c r="M71" s="14">
        <f>+'GEN. O.H'!P72</f>
        <v>0</v>
      </c>
      <c r="N71" s="14">
        <f>+'GEN. O.H'!Q72</f>
        <v>0</v>
      </c>
      <c r="O71" s="43"/>
    </row>
    <row r="72" spans="1:16">
      <c r="A72" s="73" t="s">
        <v>718</v>
      </c>
      <c r="B72" t="s">
        <v>100</v>
      </c>
      <c r="C72" s="14">
        <f>+'GEN. O.H'!F73</f>
        <v>650</v>
      </c>
      <c r="D72" s="14">
        <f>+'GEN. O.H'!G73</f>
        <v>720</v>
      </c>
      <c r="E72" s="14">
        <f>+'GEN. O.H'!H73</f>
        <v>700</v>
      </c>
      <c r="F72" s="14">
        <f>+'GEN. O.H'!I73</f>
        <v>700</v>
      </c>
      <c r="G72" s="14">
        <f>+'GEN. O.H'!J73</f>
        <v>950</v>
      </c>
      <c r="H72" s="14">
        <f>+'GEN. O.H'!K73</f>
        <v>950</v>
      </c>
      <c r="I72" s="14">
        <f>+'GEN. O.H'!L73</f>
        <v>950</v>
      </c>
      <c r="J72" s="14">
        <f>+'GEN. O.H'!M73</f>
        <v>950</v>
      </c>
      <c r="K72" s="14">
        <f>+'GEN. O.H'!N73</f>
        <v>650</v>
      </c>
      <c r="L72" s="14">
        <f>+'GEN. O.H'!O73</f>
        <v>650</v>
      </c>
      <c r="M72" s="14">
        <f>+'GEN. O.H'!P73</f>
        <v>650</v>
      </c>
      <c r="N72" s="14">
        <f>+'GEN. O.H'!Q73</f>
        <v>750</v>
      </c>
      <c r="O72" s="43">
        <f>SUM(C72:N72)</f>
        <v>9270</v>
      </c>
    </row>
    <row r="73" spans="1:16">
      <c r="A73" s="73" t="s">
        <v>718</v>
      </c>
      <c r="B73" t="s">
        <v>101</v>
      </c>
      <c r="C73" s="14">
        <f>+'GEN. O.H'!F74</f>
        <v>18.33818181818182</v>
      </c>
      <c r="D73" s="14">
        <f>+'GEN. O.H'!G74</f>
        <v>18.33818181818182</v>
      </c>
      <c r="E73" s="14">
        <f>+'GEN. O.H'!H74</f>
        <v>18.33818181818182</v>
      </c>
      <c r="F73" s="14">
        <f>+'GEN. O.H'!I74</f>
        <v>18.33818181818182</v>
      </c>
      <c r="G73" s="14">
        <f>+'GEN. O.H'!J74</f>
        <v>18.33818181818182</v>
      </c>
      <c r="H73" s="14">
        <f>+'GEN. O.H'!K74</f>
        <v>18.33818181818182</v>
      </c>
      <c r="I73" s="14">
        <f>+'GEN. O.H'!L74</f>
        <v>18.33818181818182</v>
      </c>
      <c r="J73" s="14">
        <f>+'GEN. O.H'!M74</f>
        <v>18.33818181818182</v>
      </c>
      <c r="K73" s="14">
        <f>+'GEN. O.H'!N74</f>
        <v>18.33818181818182</v>
      </c>
      <c r="L73" s="14">
        <f>+'GEN. O.H'!O74</f>
        <v>18.33818181818182</v>
      </c>
      <c r="M73" s="14">
        <f>+'GEN. O.H'!P74</f>
        <v>18.33818181818182</v>
      </c>
      <c r="N73" s="14">
        <f>+'GEN. O.H'!Q74</f>
        <v>18.33818181818182</v>
      </c>
      <c r="O73" s="43">
        <f>SUM(C73:N73)</f>
        <v>220.05818181818185</v>
      </c>
    </row>
    <row r="74" spans="1:16">
      <c r="A74" s="73" t="s">
        <v>718</v>
      </c>
      <c r="B74" t="s">
        <v>462</v>
      </c>
      <c r="C74" s="14">
        <f>+'GEN. O.H'!F75</f>
        <v>27.814545454545453</v>
      </c>
      <c r="D74" s="14">
        <f>+'GEN. O.H'!G75</f>
        <v>27.814545454545453</v>
      </c>
      <c r="E74" s="14">
        <f>+'GEN. O.H'!H75</f>
        <v>27.814545454545453</v>
      </c>
      <c r="F74" s="14">
        <f>+'GEN. O.H'!I75</f>
        <v>27.814545454545453</v>
      </c>
      <c r="G74" s="14">
        <f>+'GEN. O.H'!J75</f>
        <v>27.814545454545453</v>
      </c>
      <c r="H74" s="14">
        <f>+'GEN. O.H'!K75</f>
        <v>27.814545454545453</v>
      </c>
      <c r="I74" s="14">
        <f>+'GEN. O.H'!L75</f>
        <v>27.814545454545453</v>
      </c>
      <c r="J74" s="14">
        <f>+'GEN. O.H'!M75</f>
        <v>27.814545454545453</v>
      </c>
      <c r="K74" s="14">
        <f>+'GEN. O.H'!N75</f>
        <v>27.814545454545453</v>
      </c>
      <c r="L74" s="14">
        <f>+'GEN. O.H'!O75</f>
        <v>27.814545454545453</v>
      </c>
      <c r="M74" s="14">
        <f>+'GEN. O.H'!P75</f>
        <v>27.814545454545453</v>
      </c>
      <c r="N74" s="14">
        <f>+'GEN. O.H'!Q75</f>
        <v>27.814545454545453</v>
      </c>
      <c r="O74" s="43">
        <f>SUM(C74:N74)</f>
        <v>333.77454545454543</v>
      </c>
    </row>
    <row r="75" spans="1:16">
      <c r="A75" s="7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43"/>
    </row>
    <row r="76" spans="1:16">
      <c r="A76" s="73"/>
      <c r="B76" s="82" t="s">
        <v>102</v>
      </c>
      <c r="C76" s="51">
        <f t="shared" ref="C76:O76" si="8">SUM(C70:C74)</f>
        <v>696.15272727272736</v>
      </c>
      <c r="D76" s="51">
        <f t="shared" si="8"/>
        <v>766.15272727272736</v>
      </c>
      <c r="E76" s="51">
        <f t="shared" si="8"/>
        <v>746.15272727272736</v>
      </c>
      <c r="F76" s="51">
        <f t="shared" si="8"/>
        <v>746.15272727272736</v>
      </c>
      <c r="G76" s="51">
        <f t="shared" si="8"/>
        <v>996.15272727272736</v>
      </c>
      <c r="H76" s="51">
        <f t="shared" si="8"/>
        <v>996.15272727272736</v>
      </c>
      <c r="I76" s="51">
        <f t="shared" si="8"/>
        <v>996.15272727272736</v>
      </c>
      <c r="J76" s="51">
        <f>SUM(J70:J74)</f>
        <v>996.15272727272736</v>
      </c>
      <c r="K76" s="51">
        <f>SUM(K70:K74)</f>
        <v>696.15272727272736</v>
      </c>
      <c r="L76" s="51">
        <f>SUM(L70:L74)</f>
        <v>696.15272727272736</v>
      </c>
      <c r="M76" s="51">
        <f>SUM(M70:M74)</f>
        <v>696.15272727272736</v>
      </c>
      <c r="N76" s="51">
        <f>SUM(N70:N74)</f>
        <v>796.15272727272736</v>
      </c>
      <c r="O76" s="87">
        <f t="shared" si="8"/>
        <v>9823.8327272727274</v>
      </c>
      <c r="P76" s="45">
        <f>SUM(C76:N76)</f>
        <v>9823.8327272727274</v>
      </c>
    </row>
    <row r="77" spans="1:16">
      <c r="A77" s="29"/>
      <c r="B77" s="90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2"/>
      <c r="P77" s="45"/>
    </row>
    <row r="78" spans="1:16">
      <c r="A78" s="73"/>
      <c r="B78" s="82" t="s">
        <v>104</v>
      </c>
      <c r="C78" s="312">
        <f t="shared" ref="C78:N78" si="9">SUM(C18+C40+C46+C53+C59+C67+C76)</f>
        <v>196087.77778787882</v>
      </c>
      <c r="D78" s="312">
        <f t="shared" si="9"/>
        <v>283961.77778787882</v>
      </c>
      <c r="E78" s="312">
        <f t="shared" si="9"/>
        <v>234964.77778787882</v>
      </c>
      <c r="F78" s="312">
        <f t="shared" si="9"/>
        <v>177785.77778787882</v>
      </c>
      <c r="G78" s="312">
        <f>SUM(G18+G40+G46+G53+G59+G67+G76)</f>
        <v>173935.77778787882</v>
      </c>
      <c r="H78" s="312">
        <f t="shared" si="9"/>
        <v>287745.77778787882</v>
      </c>
      <c r="I78" s="312">
        <f t="shared" si="9"/>
        <v>174855.77778787882</v>
      </c>
      <c r="J78" s="312">
        <f t="shared" si="9"/>
        <v>168935.77778787882</v>
      </c>
      <c r="K78" s="312">
        <f t="shared" si="9"/>
        <v>185189.77778787882</v>
      </c>
      <c r="L78" s="312">
        <f t="shared" si="9"/>
        <v>338391.77778787882</v>
      </c>
      <c r="M78" s="312">
        <f t="shared" si="9"/>
        <v>187751.77778787882</v>
      </c>
      <c r="N78" s="312">
        <f t="shared" si="9"/>
        <v>183789.77778787882</v>
      </c>
      <c r="O78" s="51">
        <f>SUM(O18+O40+O46+O53+O59+O67+O76)</f>
        <v>2593396.3334545456</v>
      </c>
      <c r="P78" s="45">
        <f>SUM(C78:N78)+O17</f>
        <v>2595896.3334545456</v>
      </c>
    </row>
    <row r="79" spans="1:16">
      <c r="A79" s="73"/>
      <c r="O79" s="3"/>
    </row>
    <row r="80" spans="1:16">
      <c r="A80" s="73"/>
      <c r="O80" s="41"/>
    </row>
    <row r="81" spans="1:16">
      <c r="A81" s="73" t="s">
        <v>718</v>
      </c>
      <c r="B81" t="s">
        <v>21</v>
      </c>
      <c r="C81" s="266">
        <f>+'GEN. O.H'!F81</f>
        <v>10000</v>
      </c>
      <c r="D81" s="266">
        <f>+'GEN. O.H'!G81</f>
        <v>10000</v>
      </c>
      <c r="E81" s="266">
        <f>+'GEN. O.H'!H81</f>
        <v>10000</v>
      </c>
      <c r="F81" s="266">
        <f>+'GEN. O.H'!I81</f>
        <v>10000</v>
      </c>
      <c r="G81" s="266">
        <f>+'GEN. O.H'!J81</f>
        <v>10000</v>
      </c>
      <c r="H81" s="266">
        <f>+'GEN. O.H'!K81</f>
        <v>10000</v>
      </c>
      <c r="I81" s="266">
        <f>+'GEN. O.H'!L81</f>
        <v>10000</v>
      </c>
      <c r="J81" s="266">
        <f>+'GEN. O.H'!M81</f>
        <v>10000</v>
      </c>
      <c r="K81" s="266">
        <f>+'GEN. O.H'!N81</f>
        <v>10000</v>
      </c>
      <c r="L81" s="266">
        <f>+'GEN. O.H'!O81</f>
        <v>10000</v>
      </c>
      <c r="M81" s="266">
        <f>+'GEN. O.H'!P81</f>
        <v>10000</v>
      </c>
      <c r="N81" s="266">
        <f>+'GEN. O.H'!Q81</f>
        <v>10000</v>
      </c>
      <c r="O81" s="43">
        <f>SUM(C81:N81)</f>
        <v>120000</v>
      </c>
    </row>
    <row r="82" spans="1:16">
      <c r="A82" s="73"/>
      <c r="O82" s="41"/>
    </row>
    <row r="83" spans="1:16">
      <c r="A83" s="274"/>
      <c r="B83" s="105" t="s">
        <v>125</v>
      </c>
      <c r="C83" s="107">
        <f>SUM(C78+C81)</f>
        <v>206087.77778787882</v>
      </c>
      <c r="D83" s="107">
        <f t="shared" ref="D83:O83" si="10">SUM(D78+D81)</f>
        <v>293961.77778787882</v>
      </c>
      <c r="E83" s="107">
        <f t="shared" si="10"/>
        <v>244964.77778787882</v>
      </c>
      <c r="F83" s="107">
        <f t="shared" si="10"/>
        <v>187785.77778787882</v>
      </c>
      <c r="G83" s="107">
        <f t="shared" si="10"/>
        <v>183935.77778787882</v>
      </c>
      <c r="H83" s="107">
        <f t="shared" si="10"/>
        <v>297745.77778787882</v>
      </c>
      <c r="I83" s="107">
        <f t="shared" si="10"/>
        <v>184855.77778787882</v>
      </c>
      <c r="J83" s="107">
        <f t="shared" si="10"/>
        <v>178935.77778787882</v>
      </c>
      <c r="K83" s="107">
        <f t="shared" si="10"/>
        <v>195189.77778787882</v>
      </c>
      <c r="L83" s="107">
        <f t="shared" si="10"/>
        <v>348391.77778787882</v>
      </c>
      <c r="M83" s="107">
        <f t="shared" si="10"/>
        <v>197751.77778787882</v>
      </c>
      <c r="N83" s="107">
        <f t="shared" si="10"/>
        <v>193789.77778787882</v>
      </c>
      <c r="O83" s="107">
        <f t="shared" si="10"/>
        <v>2713396.3334545456</v>
      </c>
      <c r="P83" s="45">
        <f>SUM(C83:N83)+2500</f>
        <v>2715896.3334545456</v>
      </c>
    </row>
    <row r="84" spans="1:16">
      <c r="A84" s="29"/>
    </row>
    <row r="85" spans="1:16" hidden="1">
      <c r="A85" s="29"/>
    </row>
    <row r="86" spans="1:16" hidden="1">
      <c r="A86" s="31" t="s">
        <v>201</v>
      </c>
      <c r="O86" s="275"/>
    </row>
    <row r="87" spans="1:16" hidden="1">
      <c r="A87" s="31"/>
      <c r="B87" s="30" t="s">
        <v>11</v>
      </c>
    </row>
    <row r="88" spans="1:16" hidden="1">
      <c r="A88" s="31" t="s">
        <v>419</v>
      </c>
      <c r="B88" t="s">
        <v>420</v>
      </c>
      <c r="I88" s="185"/>
      <c r="J88" s="185"/>
      <c r="K88" s="185"/>
      <c r="L88" s="185"/>
      <c r="M88" s="185"/>
      <c r="N88" s="185"/>
    </row>
    <row r="89" spans="1:16" hidden="1">
      <c r="A89" s="31" t="s">
        <v>419</v>
      </c>
      <c r="B89" t="s">
        <v>421</v>
      </c>
    </row>
    <row r="90" spans="1:16" hidden="1">
      <c r="A90" s="276"/>
      <c r="H90" s="30"/>
      <c r="O90" s="277"/>
    </row>
    <row r="91" spans="1:16" hidden="1">
      <c r="A91" s="276"/>
    </row>
    <row r="92" spans="1:16" hidden="1">
      <c r="A92" s="276"/>
      <c r="O92" s="277"/>
    </row>
    <row r="93" spans="1:16" hidden="1">
      <c r="A93" s="276"/>
      <c r="C93" s="266"/>
      <c r="D93" s="45"/>
    </row>
    <row r="94" spans="1:16" hidden="1">
      <c r="A94" s="276"/>
    </row>
    <row r="95" spans="1:16" hidden="1">
      <c r="A95" s="276"/>
    </row>
    <row r="96" spans="1:16" hidden="1">
      <c r="A96" s="276"/>
    </row>
    <row r="97" spans="1:2" hidden="1">
      <c r="A97" s="276"/>
    </row>
    <row r="98" spans="1:2" hidden="1">
      <c r="A98" s="276"/>
    </row>
    <row r="99" spans="1:2" hidden="1">
      <c r="A99" s="276"/>
    </row>
    <row r="100" spans="1:2" hidden="1">
      <c r="A100" s="276"/>
    </row>
    <row r="101" spans="1:2" hidden="1">
      <c r="A101" s="276"/>
    </row>
    <row r="102" spans="1:2" hidden="1">
      <c r="A102" s="276"/>
      <c r="B102" s="30" t="s">
        <v>64</v>
      </c>
    </row>
    <row r="103" spans="1:2" hidden="1">
      <c r="A103" s="276"/>
    </row>
    <row r="104" spans="1:2" hidden="1">
      <c r="A104" s="276"/>
    </row>
    <row r="105" spans="1:2" hidden="1">
      <c r="A105" s="276"/>
    </row>
    <row r="106" spans="1:2" hidden="1">
      <c r="A106" s="276"/>
    </row>
    <row r="107" spans="1:2" hidden="1">
      <c r="A107" s="276"/>
    </row>
    <row r="108" spans="1:2" hidden="1">
      <c r="A108" s="276"/>
    </row>
    <row r="109" spans="1:2" hidden="1">
      <c r="A109" s="276"/>
    </row>
    <row r="110" spans="1:2" hidden="1">
      <c r="A110" s="276"/>
    </row>
    <row r="111" spans="1:2" hidden="1">
      <c r="A111" s="276"/>
    </row>
    <row r="112" spans="1:2" hidden="1">
      <c r="A112" s="276"/>
    </row>
    <row r="113" spans="1:2" hidden="1">
      <c r="A113" s="276"/>
    </row>
    <row r="114" spans="1:2" hidden="1">
      <c r="A114" s="276"/>
    </row>
    <row r="115" spans="1:2" hidden="1">
      <c r="A115" s="276"/>
    </row>
    <row r="116" spans="1:2" hidden="1">
      <c r="A116" s="276"/>
    </row>
    <row r="117" spans="1:2" hidden="1">
      <c r="A117" s="276"/>
    </row>
    <row r="118" spans="1:2" hidden="1">
      <c r="A118" s="276"/>
    </row>
    <row r="119" spans="1:2" hidden="1">
      <c r="A119" s="276"/>
    </row>
    <row r="120" spans="1:2" hidden="1">
      <c r="A120" s="276"/>
    </row>
    <row r="121" spans="1:2" hidden="1">
      <c r="A121" s="276"/>
    </row>
    <row r="122" spans="1:2" hidden="1">
      <c r="A122" s="276"/>
    </row>
    <row r="123" spans="1:2" hidden="1">
      <c r="A123" s="276"/>
      <c r="B123" s="30" t="s">
        <v>14</v>
      </c>
    </row>
    <row r="124" spans="1:2" hidden="1">
      <c r="A124" s="276"/>
    </row>
    <row r="125" spans="1:2" hidden="1">
      <c r="A125" s="276"/>
    </row>
    <row r="126" spans="1:2" hidden="1">
      <c r="A126" s="276"/>
    </row>
    <row r="127" spans="1:2" hidden="1">
      <c r="A127" s="276"/>
    </row>
    <row r="128" spans="1:2" hidden="1">
      <c r="A128" s="276"/>
    </row>
    <row r="129" spans="1:2" hidden="1">
      <c r="A129" s="276"/>
      <c r="B129" s="30" t="s">
        <v>15</v>
      </c>
    </row>
    <row r="130" spans="1:2" hidden="1">
      <c r="A130" s="276"/>
    </row>
    <row r="131" spans="1:2" hidden="1">
      <c r="A131" s="276"/>
    </row>
    <row r="132" spans="1:2" hidden="1">
      <c r="A132" s="276"/>
    </row>
    <row r="133" spans="1:2" hidden="1">
      <c r="A133" s="276"/>
      <c r="B133" s="30" t="s">
        <v>422</v>
      </c>
    </row>
    <row r="134" spans="1:2" hidden="1">
      <c r="A134" s="276"/>
      <c r="B134" s="63"/>
    </row>
    <row r="135" spans="1:2" hidden="1">
      <c r="A135" s="276"/>
    </row>
    <row r="136" spans="1:2" hidden="1">
      <c r="A136" s="276"/>
    </row>
    <row r="137" spans="1:2" hidden="1">
      <c r="A137" s="276"/>
    </row>
    <row r="138" spans="1:2" hidden="1">
      <c r="A138" s="29"/>
      <c r="B138" s="30" t="s">
        <v>23</v>
      </c>
    </row>
    <row r="139" spans="1:2" hidden="1">
      <c r="A139" s="29"/>
      <c r="B139" s="63"/>
    </row>
    <row r="140" spans="1:2" hidden="1">
      <c r="A140" s="29"/>
    </row>
    <row r="141" spans="1:2" hidden="1">
      <c r="A141" s="29"/>
    </row>
    <row r="142" spans="1:2" hidden="1">
      <c r="A142" s="29"/>
    </row>
    <row r="143" spans="1:2" hidden="1">
      <c r="A143" s="29"/>
    </row>
    <row r="144" spans="1:2" hidden="1">
      <c r="A144" s="29"/>
    </row>
    <row r="145" spans="1:16" hidden="1">
      <c r="A145" s="29"/>
      <c r="B145" s="30" t="s">
        <v>24</v>
      </c>
    </row>
    <row r="146" spans="1:16">
      <c r="A146" s="29"/>
    </row>
    <row r="147" spans="1:16" hidden="1">
      <c r="A147" s="29"/>
      <c r="B147" s="32" t="s">
        <v>423</v>
      </c>
    </row>
    <row r="148" spans="1:16" hidden="1">
      <c r="A148" s="29"/>
      <c r="B148" t="s">
        <v>448</v>
      </c>
      <c r="C148" s="266">
        <v>211054</v>
      </c>
      <c r="D148" s="266">
        <v>211054</v>
      </c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>
        <f>SUM(C148:N148)</f>
        <v>422108</v>
      </c>
      <c r="P148" s="266"/>
    </row>
    <row r="149" spans="1:16" hidden="1">
      <c r="A149" s="29"/>
      <c r="B149" t="s">
        <v>424</v>
      </c>
      <c r="C149" s="266"/>
      <c r="D149" s="266">
        <f>([2]SALES!E6+[2]SALES!E12)*50%</f>
        <v>23706.25</v>
      </c>
      <c r="E149" s="266">
        <f>D149</f>
        <v>23706.25</v>
      </c>
      <c r="F149" s="266"/>
      <c r="G149" s="266"/>
      <c r="H149" s="266"/>
      <c r="I149" s="266"/>
      <c r="J149" s="266"/>
      <c r="K149" s="266"/>
      <c r="L149" s="266"/>
      <c r="M149" s="266"/>
      <c r="N149" s="266"/>
      <c r="O149" s="266">
        <f t="shared" ref="O149:O160" si="11">SUM(C149:N149)</f>
        <v>47412.5</v>
      </c>
      <c r="P149" s="266"/>
    </row>
    <row r="150" spans="1:16" hidden="1">
      <c r="A150" s="29"/>
      <c r="B150" t="s">
        <v>425</v>
      </c>
      <c r="C150" s="266"/>
      <c r="D150" s="266"/>
      <c r="E150" s="266">
        <f>([2]SALES!H6+[2]SALES!H12)*50%</f>
        <v>52153.75</v>
      </c>
      <c r="F150" s="266">
        <f>E150</f>
        <v>52153.75</v>
      </c>
      <c r="G150" s="266"/>
      <c r="H150" s="266"/>
      <c r="I150" s="266"/>
      <c r="J150" s="266"/>
      <c r="K150" s="266"/>
      <c r="L150" s="266"/>
      <c r="M150" s="266"/>
      <c r="N150" s="266"/>
      <c r="O150" s="266">
        <f t="shared" si="11"/>
        <v>104307.5</v>
      </c>
      <c r="P150" s="266"/>
    </row>
    <row r="151" spans="1:16" hidden="1">
      <c r="A151" s="29"/>
      <c r="B151" t="s">
        <v>426</v>
      </c>
      <c r="C151" s="266"/>
      <c r="D151" s="266"/>
      <c r="E151" s="266"/>
      <c r="F151" s="266">
        <f>([2]SALES!K6+[2]SALES!K12)*50%</f>
        <v>61636.25</v>
      </c>
      <c r="G151" s="266">
        <f>F151</f>
        <v>61636.25</v>
      </c>
      <c r="H151" s="266"/>
      <c r="I151" s="266"/>
      <c r="J151" s="266"/>
      <c r="K151" s="266"/>
      <c r="L151" s="266"/>
      <c r="M151" s="266"/>
      <c r="N151" s="266"/>
      <c r="O151" s="266">
        <f t="shared" si="11"/>
        <v>123272.5</v>
      </c>
      <c r="P151" s="266"/>
    </row>
    <row r="152" spans="1:16" hidden="1">
      <c r="A152" s="29"/>
      <c r="B152" t="s">
        <v>427</v>
      </c>
      <c r="C152" s="266"/>
      <c r="D152" s="266"/>
      <c r="E152" s="266"/>
      <c r="F152" s="266"/>
      <c r="G152" s="266">
        <f>([2]SALES!N6+[2]SALES!N12)*50%</f>
        <v>66377.5</v>
      </c>
      <c r="H152" s="266">
        <f>G152</f>
        <v>66377.5</v>
      </c>
      <c r="I152" s="266"/>
      <c r="J152" s="266"/>
      <c r="K152" s="266"/>
      <c r="L152" s="266"/>
      <c r="M152" s="266"/>
      <c r="N152" s="266"/>
      <c r="O152" s="266">
        <f t="shared" si="11"/>
        <v>132755</v>
      </c>
      <c r="P152" s="266"/>
    </row>
    <row r="153" spans="1:16" hidden="1">
      <c r="A153" s="29"/>
      <c r="B153" t="s">
        <v>428</v>
      </c>
      <c r="C153" s="266"/>
      <c r="D153" s="266"/>
      <c r="E153" s="266"/>
      <c r="F153" s="266"/>
      <c r="G153" s="266"/>
      <c r="H153" s="266">
        <f>([2]SALES!Q6+[2]SALES!Q12)*50%</f>
        <v>71118.75</v>
      </c>
      <c r="I153" s="266">
        <f>H153</f>
        <v>71118.75</v>
      </c>
      <c r="J153" s="266"/>
      <c r="K153" s="266"/>
      <c r="L153" s="266"/>
      <c r="M153" s="266"/>
      <c r="N153" s="266"/>
      <c r="O153" s="266">
        <f t="shared" si="11"/>
        <v>142237.5</v>
      </c>
      <c r="P153" s="266"/>
    </row>
    <row r="154" spans="1:16" hidden="1">
      <c r="A154" s="29"/>
      <c r="B154" t="s">
        <v>429</v>
      </c>
      <c r="C154" s="266"/>
      <c r="D154" s="266"/>
      <c r="E154" s="266"/>
      <c r="F154" s="266"/>
      <c r="G154" s="266"/>
      <c r="H154" s="266"/>
      <c r="I154" s="266">
        <f>([2]SALES!T6+[2]SALES!T12)*50%</f>
        <v>71118.75</v>
      </c>
      <c r="J154" s="266">
        <f>I154</f>
        <v>71118.75</v>
      </c>
      <c r="K154" s="266"/>
      <c r="L154" s="266"/>
      <c r="M154" s="266"/>
      <c r="N154" s="266"/>
      <c r="O154" s="266">
        <f t="shared" si="11"/>
        <v>142237.5</v>
      </c>
      <c r="P154" s="266"/>
    </row>
    <row r="155" spans="1:16" hidden="1">
      <c r="A155" s="29"/>
      <c r="B155" t="s">
        <v>430</v>
      </c>
      <c r="C155" s="266"/>
      <c r="D155" s="266"/>
      <c r="E155" s="266"/>
      <c r="F155" s="266"/>
      <c r="G155" s="266"/>
      <c r="H155" s="266"/>
      <c r="I155" s="266"/>
      <c r="J155" s="266">
        <f>([2]SALES!W6+[2]SALES!W12)*50%</f>
        <v>56895</v>
      </c>
      <c r="K155" s="266">
        <f>J155</f>
        <v>56895</v>
      </c>
      <c r="L155" s="266"/>
      <c r="M155" s="266"/>
      <c r="N155" s="266"/>
      <c r="O155" s="266">
        <f t="shared" si="11"/>
        <v>113790</v>
      </c>
      <c r="P155" s="266"/>
    </row>
    <row r="156" spans="1:16" hidden="1">
      <c r="A156" s="29"/>
      <c r="B156" t="s">
        <v>431</v>
      </c>
      <c r="C156" s="266"/>
      <c r="D156" s="266"/>
      <c r="E156" s="266"/>
      <c r="F156" s="266"/>
      <c r="G156" s="266"/>
      <c r="H156" s="266"/>
      <c r="I156" s="266"/>
      <c r="J156" s="266"/>
      <c r="K156" s="266">
        <f>([2]SALES!Z6+[2]SALES!Z12)*50%</f>
        <v>66377.5</v>
      </c>
      <c r="L156" s="266">
        <f>K156</f>
        <v>66377.5</v>
      </c>
      <c r="M156" s="266"/>
      <c r="N156" s="266"/>
      <c r="O156" s="266">
        <f t="shared" si="11"/>
        <v>132755</v>
      </c>
      <c r="P156" s="266"/>
    </row>
    <row r="157" spans="1:16" hidden="1">
      <c r="A157" s="29"/>
      <c r="B157" t="s">
        <v>432</v>
      </c>
      <c r="C157" s="266"/>
      <c r="D157" s="266"/>
      <c r="E157" s="266"/>
      <c r="F157" s="266"/>
      <c r="G157" s="266"/>
      <c r="H157" s="266"/>
      <c r="I157" s="266"/>
      <c r="J157" s="266"/>
      <c r="K157" s="266"/>
      <c r="L157" s="266">
        <f>([2]SALES!AC6+[2]SALES!AC12)*50%</f>
        <v>75860</v>
      </c>
      <c r="M157" s="266">
        <f>L157</f>
        <v>75860</v>
      </c>
      <c r="N157" s="266"/>
      <c r="O157" s="266">
        <f t="shared" si="11"/>
        <v>151720</v>
      </c>
      <c r="P157" s="266"/>
    </row>
    <row r="158" spans="1:16" hidden="1">
      <c r="A158" s="29"/>
      <c r="B158" t="s">
        <v>433</v>
      </c>
      <c r="C158" s="266"/>
      <c r="D158" s="266"/>
      <c r="E158" s="266"/>
      <c r="F158" s="266"/>
      <c r="G158" s="266"/>
      <c r="H158" s="266"/>
      <c r="I158" s="266"/>
      <c r="J158" s="266"/>
      <c r="K158" s="266"/>
      <c r="L158" s="266"/>
      <c r="M158" s="266">
        <f>([2]SALES!AF6+[2]SALES!AF12)*50%</f>
        <v>75860</v>
      </c>
      <c r="N158" s="266">
        <f>M158</f>
        <v>75860</v>
      </c>
      <c r="O158" s="266">
        <f t="shared" si="11"/>
        <v>151720</v>
      </c>
      <c r="P158" s="266"/>
    </row>
    <row r="159" spans="1:16" hidden="1">
      <c r="A159" s="29"/>
      <c r="B159" t="s">
        <v>434</v>
      </c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>
        <f>([2]SALES!AI6+[2]SALES!AI12)*50%</f>
        <v>75860</v>
      </c>
      <c r="O159" s="266">
        <f t="shared" si="11"/>
        <v>75860</v>
      </c>
      <c r="P159" s="266"/>
    </row>
    <row r="160" spans="1:16" hidden="1">
      <c r="A160" s="29"/>
      <c r="B160" t="s">
        <v>435</v>
      </c>
      <c r="C160" s="266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>
        <f t="shared" si="11"/>
        <v>0</v>
      </c>
      <c r="P160" s="266"/>
    </row>
    <row r="161" spans="1:17" hidden="1">
      <c r="A161" s="29"/>
      <c r="C161" s="266"/>
      <c r="D161" s="266"/>
      <c r="E161" s="266"/>
      <c r="F161" s="266"/>
      <c r="G161" s="266"/>
      <c r="H161" s="266"/>
      <c r="I161" s="266">
        <v>0</v>
      </c>
      <c r="J161" s="266"/>
      <c r="K161" s="266"/>
      <c r="L161" s="266"/>
      <c r="M161" s="266"/>
      <c r="N161" s="266"/>
      <c r="O161" s="266"/>
      <c r="P161" s="266"/>
    </row>
    <row r="162" spans="1:17" hidden="1">
      <c r="A162" s="29"/>
      <c r="C162" s="266">
        <f t="shared" ref="C162:O162" si="12">SUM(C148:C161)</f>
        <v>211054</v>
      </c>
      <c r="D162" s="266">
        <f t="shared" si="12"/>
        <v>234760.25</v>
      </c>
      <c r="E162" s="266">
        <f t="shared" si="12"/>
        <v>75860</v>
      </c>
      <c r="F162" s="266">
        <f t="shared" si="12"/>
        <v>113790</v>
      </c>
      <c r="G162" s="266">
        <f t="shared" si="12"/>
        <v>128013.75</v>
      </c>
      <c r="H162" s="266">
        <f t="shared" si="12"/>
        <v>137496.25</v>
      </c>
      <c r="I162" s="266">
        <f t="shared" si="12"/>
        <v>142237.5</v>
      </c>
      <c r="J162" s="266">
        <f>SUM(J148:J161)</f>
        <v>128013.75</v>
      </c>
      <c r="K162" s="266">
        <f>SUM(K148:K161)</f>
        <v>123272.5</v>
      </c>
      <c r="L162" s="266">
        <f>SUM(L148:L161)</f>
        <v>142237.5</v>
      </c>
      <c r="M162" s="266">
        <f>SUM(M148:M161)</f>
        <v>151720</v>
      </c>
      <c r="N162" s="266">
        <f>SUM(N148:N161)</f>
        <v>151720</v>
      </c>
      <c r="O162" s="266">
        <f t="shared" si="12"/>
        <v>1740175.5</v>
      </c>
      <c r="P162" s="45">
        <f>SUM(C162:N162)</f>
        <v>1740175.5</v>
      </c>
    </row>
    <row r="163" spans="1:17">
      <c r="A163" s="29"/>
      <c r="C163" s="266"/>
      <c r="D163" s="266"/>
      <c r="E163" s="266"/>
      <c r="F163" s="266"/>
      <c r="G163" s="266"/>
      <c r="H163" s="266"/>
      <c r="I163" s="266"/>
      <c r="J163" s="266"/>
      <c r="K163" s="266"/>
      <c r="L163" s="266"/>
      <c r="M163" s="266"/>
      <c r="N163" s="266"/>
      <c r="O163" s="266"/>
      <c r="P163" s="266"/>
    </row>
    <row r="164" spans="1:17">
      <c r="A164" s="29"/>
      <c r="B164" s="30" t="s">
        <v>436</v>
      </c>
    </row>
    <row r="165" spans="1:17">
      <c r="A165" s="29" t="s">
        <v>718</v>
      </c>
      <c r="B165" t="s">
        <v>836</v>
      </c>
      <c r="C165" s="266"/>
      <c r="D165" s="266">
        <v>67125</v>
      </c>
      <c r="E165" s="266">
        <v>76500</v>
      </c>
      <c r="F165" s="266">
        <v>79600</v>
      </c>
      <c r="G165" s="266">
        <v>105225</v>
      </c>
      <c r="H165" s="266">
        <v>114600</v>
      </c>
      <c r="I165" s="266">
        <v>118950</v>
      </c>
      <c r="J165" s="266">
        <v>106475</v>
      </c>
      <c r="K165" s="266">
        <f>158000-57100</f>
        <v>100900</v>
      </c>
      <c r="L165" s="266">
        <v>63400</v>
      </c>
      <c r="M165" s="266">
        <v>72775</v>
      </c>
      <c r="N165" s="266">
        <v>67125</v>
      </c>
      <c r="O165" s="266">
        <f>SUM(C165:N165)</f>
        <v>972675</v>
      </c>
      <c r="P165" s="266"/>
      <c r="Q165" s="266"/>
    </row>
    <row r="166" spans="1:17">
      <c r="A166" s="29" t="s">
        <v>718</v>
      </c>
      <c r="B166" t="s">
        <v>838</v>
      </c>
      <c r="C166" s="266">
        <v>0</v>
      </c>
      <c r="D166" s="266">
        <f>+(SALES!H55-C180)*10%</f>
        <v>32500</v>
      </c>
      <c r="E166" s="266">
        <f>+(SALES!H55-D180)*10%</f>
        <v>32500</v>
      </c>
      <c r="F166" s="266">
        <f>+(SALES!N55-E180)*10%</f>
        <v>44500</v>
      </c>
      <c r="G166" s="266">
        <f>+(SALES!Q55-F180)*10%</f>
        <v>47000</v>
      </c>
      <c r="H166" s="266">
        <f>+(SALES!T55-G180)*10%</f>
        <v>47000</v>
      </c>
      <c r="I166" s="266">
        <f>+(SALES!W55-H180)*10%</f>
        <v>39000</v>
      </c>
      <c r="J166" s="266">
        <f>+(SALES!AC55-I180)*10%</f>
        <v>27000</v>
      </c>
      <c r="K166" s="266">
        <f>+(SALES!AF55-J180)*10%</f>
        <v>30500</v>
      </c>
      <c r="L166" s="266">
        <f>+(SALES!AF55-K180)*10%</f>
        <v>30500</v>
      </c>
      <c r="M166" s="266">
        <f>+(SALES!AI55-L180)*10%</f>
        <v>30500</v>
      </c>
      <c r="N166" s="266">
        <f>+(SALES!AL55-M180)*10%</f>
        <v>32500</v>
      </c>
      <c r="O166" s="266">
        <f>SUM(C166:N166)</f>
        <v>393500</v>
      </c>
      <c r="P166" s="266"/>
      <c r="Q166" s="266"/>
    </row>
    <row r="167" spans="1:17">
      <c r="A167" s="29" t="s">
        <v>718</v>
      </c>
      <c r="B167" t="s">
        <v>837</v>
      </c>
      <c r="C167" s="266"/>
      <c r="D167" s="266">
        <f>+(SALES!E55-C180)*2%</f>
        <v>6000</v>
      </c>
      <c r="E167" s="266">
        <f>+(SALES!H55-D180)*2%</f>
        <v>6500</v>
      </c>
      <c r="F167" s="266">
        <f>+(SALES!K55-E180)*2%</f>
        <v>7400</v>
      </c>
      <c r="G167" s="266">
        <f>+(SALES!N55-F180)*2%</f>
        <v>8900</v>
      </c>
      <c r="H167" s="266">
        <f>+(SALES!Q55-G180)*2%</f>
        <v>9400</v>
      </c>
      <c r="I167" s="266">
        <f>+(SALES!T55-H180)*2%</f>
        <v>9300</v>
      </c>
      <c r="J167" s="266">
        <f>+(SALES!W55-I180)*2%</f>
        <v>7900</v>
      </c>
      <c r="K167" s="266">
        <f>+(SALES!Z55-J180)*2%</f>
        <v>7600</v>
      </c>
      <c r="L167" s="266">
        <f>+(SALES!AC55-K180)*2%</f>
        <v>5600</v>
      </c>
      <c r="M167" s="266">
        <f>+(SALES!AF55-L180)*2%</f>
        <v>6100</v>
      </c>
      <c r="N167" s="266">
        <f>+(SALES!AI55-M180)*2%</f>
        <v>6000</v>
      </c>
      <c r="O167" s="266">
        <f>SUM(C167:N167)</f>
        <v>80700</v>
      </c>
      <c r="P167" s="266"/>
      <c r="Q167" s="266"/>
    </row>
    <row r="168" spans="1:17">
      <c r="A168" s="29" t="s">
        <v>718</v>
      </c>
      <c r="B168" t="s">
        <v>438</v>
      </c>
      <c r="C168" s="108">
        <v>25000</v>
      </c>
      <c r="D168" s="266">
        <f>+C180*75%</f>
        <v>18750</v>
      </c>
      <c r="E168" s="266">
        <f t="shared" ref="E168:N168" si="13">+D180*75%</f>
        <v>18750</v>
      </c>
      <c r="F168" s="266">
        <f t="shared" si="13"/>
        <v>22500</v>
      </c>
      <c r="G168" s="266">
        <f t="shared" si="13"/>
        <v>22500</v>
      </c>
      <c r="H168" s="266">
        <f t="shared" si="13"/>
        <v>22500</v>
      </c>
      <c r="I168" s="266">
        <f t="shared" si="13"/>
        <v>26250</v>
      </c>
      <c r="J168" s="266">
        <f t="shared" si="13"/>
        <v>22500</v>
      </c>
      <c r="K168" s="266">
        <f t="shared" si="13"/>
        <v>15000</v>
      </c>
      <c r="L168" s="266">
        <f t="shared" si="13"/>
        <v>15000</v>
      </c>
      <c r="M168" s="266">
        <f t="shared" si="13"/>
        <v>15000</v>
      </c>
      <c r="N168" s="266">
        <f t="shared" si="13"/>
        <v>18750</v>
      </c>
      <c r="O168" s="266">
        <f>SUM(C168:N168)</f>
        <v>242500</v>
      </c>
      <c r="P168" s="266"/>
      <c r="Q168" s="266"/>
    </row>
    <row r="169" spans="1:17">
      <c r="A169" s="29" t="s">
        <v>718</v>
      </c>
      <c r="B169" t="s">
        <v>439</v>
      </c>
      <c r="C169" s="266">
        <v>4000</v>
      </c>
      <c r="D169" s="266">
        <v>4000</v>
      </c>
      <c r="E169" s="266">
        <v>4000</v>
      </c>
      <c r="F169" s="266">
        <v>4000</v>
      </c>
      <c r="G169" s="266">
        <v>4000</v>
      </c>
      <c r="H169" s="266">
        <v>4000</v>
      </c>
      <c r="I169" s="266">
        <v>4000</v>
      </c>
      <c r="J169" s="266">
        <v>4000</v>
      </c>
      <c r="K169" s="266">
        <v>4000</v>
      </c>
      <c r="L169" s="266">
        <v>4000</v>
      </c>
      <c r="M169" s="266">
        <v>4000</v>
      </c>
      <c r="N169" s="266">
        <v>4000</v>
      </c>
      <c r="O169" s="266">
        <f>SUM(C169:N169)</f>
        <v>48000</v>
      </c>
      <c r="P169" s="266"/>
      <c r="Q169" s="266"/>
    </row>
    <row r="170" spans="1:17">
      <c r="A170" s="29"/>
      <c r="C170" s="266"/>
      <c r="D170" s="266"/>
      <c r="E170" s="266"/>
      <c r="F170" s="266"/>
      <c r="G170" s="266"/>
      <c r="H170" s="266"/>
      <c r="I170" s="266"/>
      <c r="J170" s="266"/>
      <c r="K170" s="266"/>
      <c r="L170" s="266"/>
      <c r="M170" s="266"/>
      <c r="N170" s="266"/>
      <c r="O170" s="266"/>
      <c r="P170" s="266"/>
      <c r="Q170" s="266"/>
    </row>
    <row r="171" spans="1:17">
      <c r="A171" s="29"/>
      <c r="C171" s="266">
        <f>SUM(C165:C170)</f>
        <v>29000</v>
      </c>
      <c r="D171" s="266">
        <f t="shared" ref="D171:O171" si="14">SUM(D165:D170)</f>
        <v>128375</v>
      </c>
      <c r="E171" s="266">
        <f t="shared" si="14"/>
        <v>138250</v>
      </c>
      <c r="F171" s="266">
        <f t="shared" si="14"/>
        <v>158000</v>
      </c>
      <c r="G171" s="266">
        <f t="shared" si="14"/>
        <v>187625</v>
      </c>
      <c r="H171" s="266">
        <f t="shared" si="14"/>
        <v>197500</v>
      </c>
      <c r="I171" s="266">
        <f t="shared" si="14"/>
        <v>197500</v>
      </c>
      <c r="J171" s="266">
        <f t="shared" si="14"/>
        <v>167875</v>
      </c>
      <c r="K171" s="266">
        <f t="shared" si="14"/>
        <v>158000</v>
      </c>
      <c r="L171" s="266">
        <f t="shared" si="14"/>
        <v>118500</v>
      </c>
      <c r="M171" s="266">
        <f t="shared" si="14"/>
        <v>128375</v>
      </c>
      <c r="N171" s="266">
        <f t="shared" si="14"/>
        <v>128375</v>
      </c>
      <c r="O171" s="266">
        <f t="shared" si="14"/>
        <v>1737375</v>
      </c>
      <c r="P171" s="266">
        <f>SUM(C171:N171)</f>
        <v>1737375</v>
      </c>
      <c r="Q171" s="266"/>
    </row>
    <row r="172" spans="1:17">
      <c r="A172" s="29"/>
      <c r="C172" s="266"/>
      <c r="D172" s="266">
        <f t="shared" ref="D172:N172" si="15">+D171-D165</f>
        <v>61250</v>
      </c>
      <c r="E172" s="266">
        <f t="shared" si="15"/>
        <v>61750</v>
      </c>
      <c r="F172" s="266">
        <f t="shared" si="15"/>
        <v>78400</v>
      </c>
      <c r="G172" s="266">
        <f t="shared" si="15"/>
        <v>82400</v>
      </c>
      <c r="H172" s="266">
        <f t="shared" si="15"/>
        <v>82900</v>
      </c>
      <c r="I172" s="266">
        <f t="shared" si="15"/>
        <v>78550</v>
      </c>
      <c r="J172" s="266">
        <f t="shared" si="15"/>
        <v>61400</v>
      </c>
      <c r="K172" s="266">
        <f t="shared" si="15"/>
        <v>57100</v>
      </c>
      <c r="L172" s="266">
        <f t="shared" si="15"/>
        <v>55100</v>
      </c>
      <c r="M172" s="266">
        <f t="shared" si="15"/>
        <v>55600</v>
      </c>
      <c r="N172" s="266">
        <f t="shared" si="15"/>
        <v>61250</v>
      </c>
      <c r="O172" s="266"/>
      <c r="P172" s="266"/>
      <c r="Q172" s="266"/>
    </row>
    <row r="173" spans="1:17">
      <c r="C173" s="266"/>
      <c r="D173" s="266"/>
      <c r="E173" s="266"/>
      <c r="F173" s="266"/>
      <c r="G173" s="266"/>
      <c r="H173" s="266"/>
      <c r="I173" s="266"/>
      <c r="J173" s="266"/>
      <c r="K173" s="266"/>
      <c r="L173" s="266"/>
      <c r="M173" s="266"/>
      <c r="N173" s="266"/>
      <c r="O173" s="266"/>
      <c r="P173" s="266"/>
      <c r="Q173" s="266"/>
    </row>
    <row r="174" spans="1:17">
      <c r="B174" s="30" t="s">
        <v>440</v>
      </c>
    </row>
    <row r="175" spans="1:17">
      <c r="B175" s="278" t="s">
        <v>443</v>
      </c>
    </row>
    <row r="176" spans="1:17" hidden="1">
      <c r="A176" t="s">
        <v>718</v>
      </c>
      <c r="B176" t="s">
        <v>707</v>
      </c>
      <c r="C176" s="266"/>
      <c r="D176" s="266"/>
      <c r="E176" s="266"/>
      <c r="F176" s="266"/>
      <c r="G176" s="266"/>
      <c r="H176" s="266"/>
      <c r="I176" s="266"/>
      <c r="J176" s="266"/>
      <c r="K176" s="266"/>
      <c r="L176" s="266"/>
      <c r="M176" s="266"/>
      <c r="N176" s="266"/>
      <c r="O176" s="45"/>
    </row>
    <row r="177" spans="1:25" hidden="1">
      <c r="A177" t="s">
        <v>718</v>
      </c>
      <c r="B177" t="s">
        <v>685</v>
      </c>
      <c r="C177" s="266"/>
      <c r="D177" s="266"/>
      <c r="E177" s="266"/>
      <c r="F177" s="266"/>
      <c r="G177" s="266"/>
      <c r="H177" s="266"/>
      <c r="I177" s="266"/>
      <c r="J177" s="266"/>
      <c r="K177" s="266"/>
      <c r="L177" s="266"/>
      <c r="M177" s="266"/>
      <c r="N177" s="266"/>
      <c r="O177" s="45"/>
    </row>
    <row r="178" spans="1:25" hidden="1">
      <c r="A178" t="s">
        <v>718</v>
      </c>
      <c r="B178" t="s">
        <v>4</v>
      </c>
      <c r="C178" s="266"/>
      <c r="D178" s="266"/>
      <c r="E178" s="266"/>
      <c r="F178" s="266"/>
      <c r="G178" s="266"/>
      <c r="H178" s="266"/>
      <c r="I178" s="266"/>
      <c r="J178" s="266"/>
      <c r="K178" s="266"/>
      <c r="L178" s="266"/>
      <c r="M178" s="266"/>
      <c r="N178" s="266"/>
      <c r="O178" s="45"/>
    </row>
    <row r="179" spans="1:25" hidden="1">
      <c r="A179" t="s">
        <v>718</v>
      </c>
      <c r="B179" t="s">
        <v>127</v>
      </c>
      <c r="C179" s="266"/>
      <c r="D179" s="266"/>
      <c r="E179" s="266"/>
      <c r="F179" s="266"/>
      <c r="G179" s="266"/>
      <c r="H179" s="266"/>
      <c r="I179" s="266"/>
      <c r="J179" s="266"/>
      <c r="K179" s="266"/>
      <c r="L179" s="266"/>
      <c r="M179" s="266"/>
      <c r="N179" s="266"/>
      <c r="O179" s="45"/>
    </row>
    <row r="180" spans="1:25">
      <c r="A180" t="s">
        <v>718</v>
      </c>
      <c r="B180" t="s">
        <v>129</v>
      </c>
      <c r="C180" s="266">
        <v>25000</v>
      </c>
      <c r="D180" s="266">
        <v>25000</v>
      </c>
      <c r="E180" s="266">
        <v>30000</v>
      </c>
      <c r="F180" s="266">
        <v>30000</v>
      </c>
      <c r="G180" s="266">
        <v>30000</v>
      </c>
      <c r="H180" s="266">
        <v>35000</v>
      </c>
      <c r="I180" s="266">
        <v>30000</v>
      </c>
      <c r="J180" s="266">
        <v>20000</v>
      </c>
      <c r="K180" s="266">
        <v>20000</v>
      </c>
      <c r="L180" s="266">
        <v>20000</v>
      </c>
      <c r="M180" s="266">
        <v>25000</v>
      </c>
      <c r="N180" s="266">
        <v>25000</v>
      </c>
      <c r="O180" s="45">
        <f t="shared" ref="O180:O187" si="16">SUM(C180:N180)</f>
        <v>315000</v>
      </c>
    </row>
    <row r="181" spans="1:25">
      <c r="C181" s="266"/>
      <c r="D181" s="266"/>
      <c r="E181" s="266"/>
      <c r="F181" s="266"/>
      <c r="G181" s="266"/>
      <c r="H181" s="266"/>
      <c r="I181" s="266"/>
      <c r="J181" s="266"/>
      <c r="K181" s="266"/>
      <c r="L181" s="266"/>
      <c r="M181" s="266"/>
      <c r="N181" s="266"/>
      <c r="O181" s="45"/>
    </row>
    <row r="182" spans="1:25">
      <c r="C182" s="266"/>
      <c r="D182" s="266"/>
      <c r="E182" s="266"/>
      <c r="F182" s="266"/>
      <c r="G182" s="266"/>
      <c r="H182" s="266"/>
      <c r="I182" s="266"/>
      <c r="J182" s="266"/>
      <c r="K182" s="266"/>
      <c r="L182" s="266"/>
      <c r="M182" s="266"/>
      <c r="N182" s="266"/>
      <c r="O182" s="45"/>
    </row>
    <row r="183" spans="1:25">
      <c r="C183" s="266"/>
      <c r="D183" s="266"/>
      <c r="E183" s="266"/>
      <c r="F183" s="266"/>
      <c r="G183" s="266"/>
      <c r="H183" s="266"/>
      <c r="I183" s="266"/>
      <c r="J183" s="266"/>
      <c r="K183" s="266"/>
      <c r="L183" s="266"/>
      <c r="M183" s="266"/>
      <c r="N183" s="266"/>
      <c r="O183" s="45">
        <f t="shared" si="16"/>
        <v>0</v>
      </c>
    </row>
    <row r="184" spans="1:25">
      <c r="A184" t="s">
        <v>718</v>
      </c>
      <c r="B184" s="278" t="s">
        <v>444</v>
      </c>
      <c r="C184" s="266"/>
      <c r="D184" s="266"/>
      <c r="E184" s="266"/>
      <c r="F184" s="266"/>
      <c r="G184" s="266"/>
      <c r="H184" s="266"/>
      <c r="I184" s="266"/>
      <c r="J184" s="266"/>
      <c r="K184" s="266"/>
      <c r="L184" s="266"/>
      <c r="M184" s="266"/>
      <c r="N184" s="266"/>
      <c r="O184" s="45">
        <f t="shared" si="16"/>
        <v>0</v>
      </c>
    </row>
    <row r="185" spans="1:25" hidden="1">
      <c r="A185" t="s">
        <v>718</v>
      </c>
      <c r="B185" t="s">
        <v>707</v>
      </c>
      <c r="C185" s="266">
        <f>+SALES!E40</f>
        <v>7500</v>
      </c>
      <c r="D185" s="266">
        <f>+SALES!H40</f>
        <v>7500</v>
      </c>
      <c r="E185" s="266">
        <f>+SALES!K40</f>
        <v>7500</v>
      </c>
      <c r="F185" s="266">
        <f>+SALES!N40</f>
        <v>7500</v>
      </c>
      <c r="G185" s="266">
        <f>+SALES!Q40</f>
        <v>7500</v>
      </c>
      <c r="H185" s="266">
        <f>+SALES!T40</f>
        <v>7500</v>
      </c>
      <c r="I185" s="266">
        <f>+SALES!W40</f>
        <v>0</v>
      </c>
      <c r="J185" s="266">
        <f>+SALES!Z40</f>
        <v>0</v>
      </c>
      <c r="K185" s="266">
        <f>+SALES!AC40</f>
        <v>3000</v>
      </c>
      <c r="L185" s="266">
        <f>+SALES!AF40</f>
        <v>7500</v>
      </c>
      <c r="M185" s="266">
        <f>+SALES!AI40</f>
        <v>3000</v>
      </c>
      <c r="N185" s="266">
        <f>+SALES!AL40</f>
        <v>3000</v>
      </c>
      <c r="O185" s="45">
        <f t="shared" si="16"/>
        <v>61500</v>
      </c>
    </row>
    <row r="186" spans="1:25" hidden="1">
      <c r="A186" t="s">
        <v>718</v>
      </c>
      <c r="B186" t="s">
        <v>4</v>
      </c>
      <c r="C186" s="266">
        <f>+SALES!E44</f>
        <v>0</v>
      </c>
      <c r="D186" s="266">
        <f>+SALES!H44</f>
        <v>7500</v>
      </c>
      <c r="E186" s="266">
        <f>+SALES!K44</f>
        <v>15000</v>
      </c>
      <c r="F186" s="266">
        <f>+SALES!N44</f>
        <v>15000</v>
      </c>
      <c r="G186" s="266">
        <f>+SALES!Q44</f>
        <v>15000</v>
      </c>
      <c r="H186" s="266">
        <f>+SALES!T44</f>
        <v>15000</v>
      </c>
      <c r="I186" s="266">
        <f>+SALES!W44</f>
        <v>15000</v>
      </c>
      <c r="J186" s="266">
        <f>+SALES!Z44</f>
        <v>7500</v>
      </c>
      <c r="K186" s="266">
        <f>+SALES!AC44</f>
        <v>7500</v>
      </c>
      <c r="L186" s="266">
        <f>+SALES!AF44</f>
        <v>15000</v>
      </c>
      <c r="M186" s="266">
        <f>+SALES!AI44</f>
        <v>7500</v>
      </c>
      <c r="N186" s="266">
        <f>+SALES!AL44</f>
        <v>7500</v>
      </c>
      <c r="O186" s="45">
        <f t="shared" si="16"/>
        <v>127500</v>
      </c>
    </row>
    <row r="187" spans="1:25" hidden="1">
      <c r="A187" t="s">
        <v>718</v>
      </c>
      <c r="B187" t="s">
        <v>709</v>
      </c>
      <c r="C187">
        <f>(+SALES!E45+SALES!E46+SALES!E49)*40/100</f>
        <v>20160</v>
      </c>
      <c r="D187">
        <f>(+SALES!H45+SALES!H46+SALES!H49)*40/100</f>
        <v>34560</v>
      </c>
      <c r="E187">
        <f>(+SALES!K45+SALES!K46+SALES!K49)*40/100</f>
        <v>45120</v>
      </c>
      <c r="F187">
        <f>(+SALES!N45+SALES!N46+SALES!N49)*40/100</f>
        <v>45120</v>
      </c>
      <c r="G187">
        <f>(+SALES!Q45+SALES!Q46+SALES!Q49)*40/100</f>
        <v>50880</v>
      </c>
      <c r="H187">
        <f>(+SALES!T45+SALES!T46+SALES!T49)*40/100</f>
        <v>50880</v>
      </c>
      <c r="I187">
        <f>(+SALES!W45+SALES!W46+SALES!W49)*40/100</f>
        <v>45120</v>
      </c>
      <c r="J187">
        <f>(+SALES!Z45+SALES!Z46+SALES!Z49)*40/100</f>
        <v>39360</v>
      </c>
      <c r="K187">
        <f>(+SALES!AC1+SALES!AC46+SALES!AC49)*40/100</f>
        <v>30720</v>
      </c>
      <c r="L187">
        <f>(+SALES!AF45+SALES!AF46+SALES!AF49)*40/100</f>
        <v>39360</v>
      </c>
      <c r="M187">
        <f>(+SALES!AI45+SALES!AI46+SALES!AI49)*40/100</f>
        <v>39360</v>
      </c>
      <c r="N187">
        <f>(+SALES!AL45+SALES!AL46+SALES!AL49)*40/100</f>
        <v>39360</v>
      </c>
      <c r="O187" s="45">
        <f t="shared" si="16"/>
        <v>480000</v>
      </c>
    </row>
    <row r="188" spans="1:25" s="280" customFormat="1" ht="13.5" thickBot="1">
      <c r="C188" s="297">
        <f t="shared" ref="C188:N188" si="17">+C180</f>
        <v>25000</v>
      </c>
      <c r="D188" s="297">
        <f t="shared" si="17"/>
        <v>25000</v>
      </c>
      <c r="E188" s="297">
        <f t="shared" si="17"/>
        <v>30000</v>
      </c>
      <c r="F188" s="297">
        <f t="shared" si="17"/>
        <v>30000</v>
      </c>
      <c r="G188" s="297">
        <f t="shared" si="17"/>
        <v>30000</v>
      </c>
      <c r="H188" s="297">
        <f t="shared" si="17"/>
        <v>35000</v>
      </c>
      <c r="I188" s="297">
        <f t="shared" si="17"/>
        <v>30000</v>
      </c>
      <c r="J188" s="297">
        <f t="shared" si="17"/>
        <v>20000</v>
      </c>
      <c r="K188" s="297">
        <f t="shared" si="17"/>
        <v>20000</v>
      </c>
      <c r="L188" s="297">
        <f t="shared" si="17"/>
        <v>20000</v>
      </c>
      <c r="M188" s="297">
        <f t="shared" si="17"/>
        <v>25000</v>
      </c>
      <c r="N188" s="297">
        <f t="shared" si="17"/>
        <v>25000</v>
      </c>
      <c r="O188" s="297">
        <f>+O180</f>
        <v>315000</v>
      </c>
      <c r="P188" s="297">
        <f>SUM(C188:N188)</f>
        <v>315000</v>
      </c>
    </row>
    <row r="189" spans="1:25" ht="13.5" thickTop="1"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</row>
    <row r="190" spans="1:25">
      <c r="A190" s="29"/>
      <c r="B190" s="32" t="s">
        <v>423</v>
      </c>
    </row>
    <row r="191" spans="1:25">
      <c r="A191" s="29"/>
      <c r="B191" s="30" t="s">
        <v>850</v>
      </c>
      <c r="C191" s="540">
        <v>150000</v>
      </c>
      <c r="D191" s="540">
        <f>50000+100000</f>
        <v>150000</v>
      </c>
      <c r="E191" s="540">
        <v>100000</v>
      </c>
      <c r="F191" s="298"/>
      <c r="G191" s="298"/>
      <c r="H191" s="298"/>
      <c r="I191" s="298"/>
      <c r="J191" s="298"/>
      <c r="K191" s="298"/>
      <c r="L191" s="298"/>
      <c r="M191" s="298"/>
      <c r="N191" s="298"/>
      <c r="O191" s="298">
        <f>SUM(C191:N191)</f>
        <v>400000</v>
      </c>
      <c r="P191" s="298"/>
      <c r="Q191" s="163"/>
      <c r="R191" s="163"/>
      <c r="S191" s="163"/>
      <c r="T191" s="163"/>
      <c r="U191" s="163"/>
      <c r="V191" s="163"/>
      <c r="W191" s="163"/>
      <c r="X191" s="163"/>
      <c r="Y191" s="163"/>
    </row>
    <row r="192" spans="1:25">
      <c r="A192" s="29"/>
      <c r="B192" t="s">
        <v>424</v>
      </c>
      <c r="C192" s="298"/>
      <c r="D192" s="298">
        <f>+(SALES!E55-CostFlow!C180)*50%</f>
        <v>150000</v>
      </c>
      <c r="E192" s="298">
        <f>+(SALES!E55-CostFlow!C180)*50%</f>
        <v>150000</v>
      </c>
      <c r="F192" s="298"/>
      <c r="G192" s="298"/>
      <c r="H192" s="298"/>
      <c r="I192" s="298"/>
      <c r="J192" s="298"/>
      <c r="K192" s="298"/>
      <c r="L192" s="298"/>
      <c r="M192" s="298"/>
      <c r="N192" s="298"/>
      <c r="O192" s="298">
        <f t="shared" ref="O192:O203" si="18">SUM(C192:N192)</f>
        <v>300000</v>
      </c>
      <c r="P192" s="298"/>
      <c r="Q192" s="163"/>
      <c r="R192" s="163"/>
      <c r="S192" s="163"/>
      <c r="T192" s="163"/>
      <c r="U192" s="163"/>
      <c r="V192" s="163"/>
      <c r="W192" s="163"/>
      <c r="X192" s="163"/>
      <c r="Y192" s="163"/>
    </row>
    <row r="193" spans="1:25">
      <c r="A193" s="29"/>
      <c r="B193" t="s">
        <v>425</v>
      </c>
      <c r="C193" s="298"/>
      <c r="D193" s="298">
        <f>+(SALES!H55-CostFlow!D180)*50%</f>
        <v>162500</v>
      </c>
      <c r="E193" s="298">
        <f>+(SALES!H55-CostFlow!D180)*50%</f>
        <v>162500</v>
      </c>
      <c r="F193" s="298"/>
      <c r="G193" s="298"/>
      <c r="H193" s="298"/>
      <c r="I193" s="298"/>
      <c r="J193" s="298"/>
      <c r="K193" s="298"/>
      <c r="L193" s="298"/>
      <c r="M193" s="298"/>
      <c r="N193" s="298"/>
      <c r="O193" s="298">
        <f t="shared" si="18"/>
        <v>325000</v>
      </c>
      <c r="P193" s="298"/>
      <c r="Q193" s="163"/>
      <c r="R193" s="163"/>
      <c r="S193" s="163"/>
      <c r="T193" s="163"/>
      <c r="U193" s="163"/>
      <c r="V193" s="163"/>
      <c r="W193" s="163"/>
      <c r="X193" s="163"/>
      <c r="Y193" s="163"/>
    </row>
    <row r="194" spans="1:25">
      <c r="A194" s="29"/>
      <c r="B194" t="s">
        <v>426</v>
      </c>
      <c r="C194" s="298"/>
      <c r="D194" s="298"/>
      <c r="E194" s="298">
        <f>+(SALES!K55-CostFlow!E180)*50%</f>
        <v>185000</v>
      </c>
      <c r="F194" s="298">
        <f>+(SALES!K55-CostFlow!E180)*50%</f>
        <v>185000</v>
      </c>
      <c r="G194" s="298"/>
      <c r="H194" s="298"/>
      <c r="I194" s="298">
        <f>+I193-I191</f>
        <v>0</v>
      </c>
      <c r="J194" s="298"/>
      <c r="K194" s="298"/>
      <c r="L194" s="298"/>
      <c r="M194" s="298"/>
      <c r="N194" s="298"/>
      <c r="O194" s="298">
        <f t="shared" si="18"/>
        <v>370000</v>
      </c>
      <c r="P194" s="298"/>
      <c r="Q194" s="163"/>
      <c r="R194" s="163"/>
      <c r="S194" s="163"/>
      <c r="T194" s="163"/>
      <c r="U194" s="163"/>
      <c r="V194" s="163"/>
      <c r="W194" s="163"/>
      <c r="X194" s="163"/>
      <c r="Y194" s="163"/>
    </row>
    <row r="195" spans="1:25">
      <c r="A195" s="29"/>
      <c r="B195" t="s">
        <v>427</v>
      </c>
      <c r="C195" s="298"/>
      <c r="D195" s="298"/>
      <c r="E195" s="298"/>
      <c r="F195" s="298">
        <f>+(SALES!N55-CostFlow!F180)*50%</f>
        <v>222500</v>
      </c>
      <c r="G195" s="298">
        <f>+(SALES!N55-CostFlow!F180)*50%</f>
        <v>222500</v>
      </c>
      <c r="H195" s="298"/>
      <c r="I195" s="298"/>
      <c r="J195" s="298"/>
      <c r="K195" s="298"/>
      <c r="L195" s="298"/>
      <c r="M195" s="298"/>
      <c r="N195" s="298"/>
      <c r="O195" s="298">
        <f t="shared" si="18"/>
        <v>445000</v>
      </c>
      <c r="P195" s="298"/>
      <c r="Q195" s="163"/>
      <c r="R195" s="163"/>
      <c r="S195" s="163"/>
      <c r="T195" s="163"/>
      <c r="U195" s="163"/>
      <c r="V195" s="163"/>
      <c r="W195" s="163"/>
      <c r="X195" s="163"/>
      <c r="Y195" s="163"/>
    </row>
    <row r="196" spans="1:25">
      <c r="A196" s="29"/>
      <c r="B196" t="s">
        <v>428</v>
      </c>
      <c r="C196" s="298"/>
      <c r="D196" s="298"/>
      <c r="E196" s="298"/>
      <c r="F196" s="298"/>
      <c r="G196" s="298">
        <f>+(SALES!Q55-CostFlow!G180)*50%</f>
        <v>235000</v>
      </c>
      <c r="H196" s="298">
        <f>+(SALES!Q55-CostFlow!G180)*50%</f>
        <v>235000</v>
      </c>
      <c r="I196" s="298"/>
      <c r="J196" s="298"/>
      <c r="K196" s="298"/>
      <c r="L196" s="298"/>
      <c r="M196" s="298"/>
      <c r="N196" s="298"/>
      <c r="O196" s="298">
        <f t="shared" si="18"/>
        <v>470000</v>
      </c>
      <c r="P196" s="298"/>
      <c r="Q196" s="163"/>
      <c r="R196" s="163"/>
      <c r="S196" s="163"/>
      <c r="T196" s="163"/>
      <c r="U196" s="163"/>
      <c r="V196" s="163"/>
      <c r="W196" s="163"/>
      <c r="X196" s="163"/>
      <c r="Y196" s="163"/>
    </row>
    <row r="197" spans="1:25">
      <c r="A197" s="29"/>
      <c r="B197" t="s">
        <v>429</v>
      </c>
      <c r="C197" s="298"/>
      <c r="D197" s="298"/>
      <c r="E197" s="298"/>
      <c r="F197" s="298"/>
      <c r="G197" s="298"/>
      <c r="H197" s="298">
        <f>+(SALES!T55-CostFlow!H180)*50%</f>
        <v>232500</v>
      </c>
      <c r="I197" s="298">
        <f>+(SALES!T55-CostFlow!H180)*50%</f>
        <v>232500</v>
      </c>
      <c r="J197" s="298"/>
      <c r="K197" s="298"/>
      <c r="L197" s="298"/>
      <c r="M197" s="298"/>
      <c r="N197" s="298"/>
      <c r="O197" s="298">
        <f t="shared" si="18"/>
        <v>465000</v>
      </c>
      <c r="P197" s="298"/>
      <c r="Q197" s="163"/>
      <c r="R197" s="163"/>
      <c r="S197" s="163"/>
      <c r="T197" s="163"/>
      <c r="U197" s="163"/>
      <c r="V197" s="163"/>
      <c r="W197" s="163"/>
      <c r="X197" s="163"/>
      <c r="Y197" s="163"/>
    </row>
    <row r="198" spans="1:25">
      <c r="A198" s="29"/>
      <c r="B198" t="s">
        <v>430</v>
      </c>
      <c r="C198" s="298"/>
      <c r="D198" s="298"/>
      <c r="E198" s="298"/>
      <c r="F198" s="298"/>
      <c r="G198" s="298"/>
      <c r="H198" s="298"/>
      <c r="I198" s="298">
        <f>+(SALES!W55-CostFlow!I180)*50%</f>
        <v>197500</v>
      </c>
      <c r="J198" s="298">
        <f>+(SALES!W55-CostFlow!I180)*50%</f>
        <v>197500</v>
      </c>
      <c r="K198" s="298"/>
      <c r="L198" s="298"/>
      <c r="M198" s="298"/>
      <c r="N198" s="298"/>
      <c r="O198" s="298">
        <f t="shared" si="18"/>
        <v>395000</v>
      </c>
      <c r="P198" s="298"/>
      <c r="Q198" s="163"/>
      <c r="R198" s="163"/>
      <c r="S198" s="163"/>
      <c r="T198" s="163"/>
      <c r="U198" s="163"/>
      <c r="V198" s="163"/>
      <c r="W198" s="163"/>
      <c r="X198" s="163"/>
      <c r="Y198" s="163"/>
    </row>
    <row r="199" spans="1:25">
      <c r="A199" s="29"/>
      <c r="B199" t="s">
        <v>431</v>
      </c>
      <c r="C199" s="298"/>
      <c r="D199" s="298"/>
      <c r="E199" s="298"/>
      <c r="F199" s="298"/>
      <c r="G199" s="298"/>
      <c r="H199" s="298"/>
      <c r="I199" s="298"/>
      <c r="J199" s="298">
        <f>+(SALES!Z55-CostFlow!J180)*50%</f>
        <v>190000</v>
      </c>
      <c r="K199" s="298">
        <f>+(SALES!Z55-CostFlow!J180)*50%</f>
        <v>190000</v>
      </c>
      <c r="L199" s="298"/>
      <c r="M199" s="298"/>
      <c r="N199" s="298"/>
      <c r="O199" s="298">
        <f t="shared" si="18"/>
        <v>380000</v>
      </c>
      <c r="P199" s="298"/>
      <c r="Q199" s="163"/>
      <c r="R199" s="163"/>
      <c r="S199" s="163"/>
      <c r="T199" s="163"/>
      <c r="U199" s="163"/>
      <c r="V199" s="163"/>
      <c r="W199" s="163"/>
      <c r="X199" s="163"/>
      <c r="Y199" s="163"/>
    </row>
    <row r="200" spans="1:25">
      <c r="A200" s="29"/>
      <c r="B200" t="s">
        <v>432</v>
      </c>
      <c r="C200" s="298"/>
      <c r="D200" s="298"/>
      <c r="E200" s="298"/>
      <c r="F200" s="298"/>
      <c r="G200" s="298"/>
      <c r="H200" s="298"/>
      <c r="I200" s="298"/>
      <c r="J200" s="298"/>
      <c r="K200" s="298">
        <f>+(SALES!AC55-CostFlow!K180)*50%</f>
        <v>140000</v>
      </c>
      <c r="L200" s="298">
        <f>+(SALES!AC55-CostFlow!K180)*50%</f>
        <v>140000</v>
      </c>
      <c r="M200" s="298"/>
      <c r="N200" s="298"/>
      <c r="O200" s="298">
        <f t="shared" si="18"/>
        <v>280000</v>
      </c>
      <c r="P200" s="298"/>
      <c r="Q200" s="163"/>
      <c r="R200" s="163"/>
      <c r="S200" s="163"/>
      <c r="T200" s="163"/>
      <c r="U200" s="163"/>
      <c r="V200" s="163"/>
      <c r="W200" s="163"/>
      <c r="X200" s="163"/>
      <c r="Y200" s="163"/>
    </row>
    <row r="201" spans="1:25">
      <c r="A201" s="29"/>
      <c r="B201" t="s">
        <v>433</v>
      </c>
      <c r="C201" s="298"/>
      <c r="D201" s="298"/>
      <c r="E201" s="298"/>
      <c r="F201" s="298"/>
      <c r="G201" s="298"/>
      <c r="H201" s="298"/>
      <c r="I201" s="298"/>
      <c r="J201" s="298"/>
      <c r="K201" s="298"/>
      <c r="L201" s="298">
        <f>+(SALES!AF55-CostFlow!L180)*50%</f>
        <v>152500</v>
      </c>
      <c r="M201" s="298">
        <f>+(SALES!AF55-CostFlow!L180)*50%</f>
        <v>152500</v>
      </c>
      <c r="N201" s="298"/>
      <c r="O201" s="298">
        <f t="shared" si="18"/>
        <v>305000</v>
      </c>
      <c r="P201" s="298"/>
      <c r="Q201" s="163"/>
      <c r="R201" s="163"/>
      <c r="S201" s="163"/>
      <c r="T201" s="163"/>
      <c r="U201" s="163"/>
      <c r="V201" s="163"/>
      <c r="W201" s="163"/>
      <c r="X201" s="163"/>
      <c r="Y201" s="163"/>
    </row>
    <row r="202" spans="1:25">
      <c r="A202" s="29"/>
      <c r="B202" t="s">
        <v>434</v>
      </c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>
        <f>+(SALES!AI55-CostFlow!M180)*50%</f>
        <v>150000</v>
      </c>
      <c r="N202" s="298">
        <f>+(SALES!AI55-CostFlow!M180)*50%</f>
        <v>150000</v>
      </c>
      <c r="O202" s="298">
        <f t="shared" si="18"/>
        <v>300000</v>
      </c>
      <c r="P202" s="298"/>
      <c r="Q202" s="163"/>
      <c r="R202" s="163"/>
      <c r="S202" s="163"/>
      <c r="T202" s="163"/>
      <c r="U202" s="163"/>
      <c r="V202" s="163"/>
      <c r="W202" s="163"/>
      <c r="X202" s="163"/>
      <c r="Y202" s="163"/>
    </row>
    <row r="203" spans="1:25">
      <c r="A203" s="29"/>
      <c r="B203" t="s">
        <v>435</v>
      </c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>
        <f>+(SALES!AL55-CostFlow!N180)*50%</f>
        <v>162500</v>
      </c>
      <c r="O203" s="298">
        <f t="shared" si="18"/>
        <v>162500</v>
      </c>
      <c r="P203" s="298"/>
      <c r="Q203" s="163"/>
      <c r="R203" s="163"/>
      <c r="S203" s="163"/>
      <c r="T203" s="163"/>
      <c r="U203" s="163"/>
      <c r="V203" s="163"/>
      <c r="W203" s="163"/>
      <c r="X203" s="163"/>
      <c r="Y203" s="163"/>
    </row>
    <row r="204" spans="1:25">
      <c r="A204" s="29"/>
      <c r="C204" s="298"/>
      <c r="D204" s="298"/>
      <c r="E204" s="298"/>
      <c r="F204" s="298"/>
      <c r="G204" s="298"/>
      <c r="H204" s="298"/>
      <c r="I204" s="298">
        <v>0</v>
      </c>
      <c r="J204" s="298"/>
      <c r="K204" s="298"/>
      <c r="L204" s="298"/>
      <c r="M204" s="298"/>
      <c r="N204" s="298"/>
      <c r="O204" s="298"/>
      <c r="P204" s="298"/>
      <c r="Q204" s="163"/>
      <c r="R204" s="163"/>
      <c r="S204" s="163"/>
      <c r="T204" s="163"/>
      <c r="U204" s="163"/>
      <c r="V204" s="163"/>
      <c r="W204" s="163"/>
      <c r="X204" s="163"/>
      <c r="Y204" s="163"/>
    </row>
    <row r="205" spans="1:25" s="280" customFormat="1" ht="13.5" thickBot="1">
      <c r="A205" s="296" t="s">
        <v>718</v>
      </c>
      <c r="B205" s="280" t="s">
        <v>535</v>
      </c>
      <c r="C205" s="299">
        <f t="shared" ref="C205:O205" si="19">SUM(C191:C204)</f>
        <v>150000</v>
      </c>
      <c r="D205" s="299">
        <f t="shared" si="19"/>
        <v>462500</v>
      </c>
      <c r="E205" s="299">
        <f t="shared" si="19"/>
        <v>597500</v>
      </c>
      <c r="F205" s="299">
        <f t="shared" si="19"/>
        <v>407500</v>
      </c>
      <c r="G205" s="299">
        <f t="shared" si="19"/>
        <v>457500</v>
      </c>
      <c r="H205" s="299">
        <f t="shared" si="19"/>
        <v>467500</v>
      </c>
      <c r="I205" s="299">
        <f t="shared" si="19"/>
        <v>430000</v>
      </c>
      <c r="J205" s="299">
        <f t="shared" si="19"/>
        <v>387500</v>
      </c>
      <c r="K205" s="299">
        <f t="shared" si="19"/>
        <v>330000</v>
      </c>
      <c r="L205" s="299">
        <f t="shared" si="19"/>
        <v>292500</v>
      </c>
      <c r="M205" s="299">
        <f t="shared" si="19"/>
        <v>302500</v>
      </c>
      <c r="N205" s="299">
        <f t="shared" si="19"/>
        <v>312500</v>
      </c>
      <c r="O205" s="299">
        <f t="shared" si="19"/>
        <v>4597500</v>
      </c>
      <c r="P205" s="300">
        <f>SUM(C205:N205)</f>
        <v>4597500</v>
      </c>
      <c r="Q205" s="300"/>
      <c r="R205" s="300"/>
      <c r="S205" s="300"/>
      <c r="T205" s="300"/>
      <c r="U205" s="300"/>
      <c r="V205" s="300"/>
      <c r="W205" s="300"/>
      <c r="X205" s="300"/>
      <c r="Y205" s="300"/>
    </row>
    <row r="206" spans="1:25" ht="13.5" hidden="1" thickTop="1"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</row>
    <row r="207" spans="1:25" hidden="1">
      <c r="B207" s="278" t="s">
        <v>443</v>
      </c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</row>
    <row r="208" spans="1:25" hidden="1">
      <c r="B208" t="s">
        <v>708</v>
      </c>
      <c r="C208" s="163"/>
      <c r="D208" s="298">
        <v>0</v>
      </c>
      <c r="E208" s="298">
        <v>0</v>
      </c>
      <c r="F208" s="298">
        <v>0</v>
      </c>
      <c r="G208" s="298">
        <v>0</v>
      </c>
      <c r="H208" s="298">
        <v>0</v>
      </c>
      <c r="I208" s="298">
        <v>0</v>
      </c>
      <c r="J208" s="298">
        <v>0</v>
      </c>
      <c r="K208" s="298">
        <v>0</v>
      </c>
      <c r="L208" s="298">
        <v>0</v>
      </c>
      <c r="M208" s="298">
        <v>0</v>
      </c>
      <c r="N208" s="298">
        <v>0</v>
      </c>
      <c r="O208" s="298">
        <v>0</v>
      </c>
      <c r="P208" s="163"/>
      <c r="Q208" s="163">
        <v>0</v>
      </c>
      <c r="R208" s="163">
        <v>0</v>
      </c>
      <c r="S208" s="163"/>
      <c r="T208" s="163">
        <v>0</v>
      </c>
      <c r="U208" s="163"/>
      <c r="V208" s="163"/>
      <c r="W208" s="163"/>
      <c r="X208" s="163"/>
      <c r="Y208" s="163"/>
    </row>
    <row r="209" spans="2:25" hidden="1">
      <c r="C209" s="163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</row>
    <row r="210" spans="2:25" s="280" customFormat="1" ht="13.5" hidden="1" thickBot="1">
      <c r="B210" s="280" t="s">
        <v>535</v>
      </c>
      <c r="C210" s="301">
        <f>SUM(C208:C209)</f>
        <v>0</v>
      </c>
      <c r="D210" s="301">
        <f t="shared" ref="D210:O210" si="20">SUM(D208:D209)</f>
        <v>0</v>
      </c>
      <c r="E210" s="301">
        <f t="shared" si="20"/>
        <v>0</v>
      </c>
      <c r="F210" s="301">
        <f t="shared" si="20"/>
        <v>0</v>
      </c>
      <c r="G210" s="301">
        <f t="shared" si="20"/>
        <v>0</v>
      </c>
      <c r="H210" s="301">
        <f t="shared" si="20"/>
        <v>0</v>
      </c>
      <c r="I210" s="301">
        <f t="shared" si="20"/>
        <v>0</v>
      </c>
      <c r="J210" s="301">
        <f t="shared" si="20"/>
        <v>0</v>
      </c>
      <c r="K210" s="301">
        <f t="shared" si="20"/>
        <v>0</v>
      </c>
      <c r="L210" s="301">
        <f t="shared" si="20"/>
        <v>0</v>
      </c>
      <c r="M210" s="301">
        <f t="shared" si="20"/>
        <v>0</v>
      </c>
      <c r="N210" s="301">
        <f t="shared" si="20"/>
        <v>0</v>
      </c>
      <c r="O210" s="301">
        <f t="shared" si="20"/>
        <v>0</v>
      </c>
      <c r="P210" s="300">
        <f>SUM(C210:N210)</f>
        <v>0</v>
      </c>
      <c r="Q210" s="300"/>
      <c r="R210" s="300"/>
      <c r="S210" s="300"/>
      <c r="T210" s="300"/>
      <c r="U210" s="300"/>
      <c r="V210" s="300"/>
      <c r="W210" s="300"/>
      <c r="X210" s="300"/>
      <c r="Y210" s="300"/>
    </row>
    <row r="211" spans="2:25" ht="13.5" hidden="1" thickTop="1"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</row>
    <row r="212" spans="2:25" hidden="1">
      <c r="B212" s="278" t="s">
        <v>444</v>
      </c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>
        <f t="shared" ref="O212:O224" si="21">SUM(C212:N212)</f>
        <v>0</v>
      </c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</row>
    <row r="213" spans="2:25" hidden="1">
      <c r="B213" s="63" t="s">
        <v>710</v>
      </c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>
        <f t="shared" si="21"/>
        <v>0</v>
      </c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</row>
    <row r="214" spans="2:25" hidden="1">
      <c r="B214" t="s">
        <v>451</v>
      </c>
      <c r="C214" s="163"/>
      <c r="D214">
        <f>(+SALES!E45+SALES!E46+SALES!E49)*33/100</f>
        <v>16632</v>
      </c>
      <c r="E214">
        <f>(+SALES!E45+SALES!E46+SALES!E49)*27/100</f>
        <v>13608</v>
      </c>
      <c r="F214" s="163"/>
      <c r="G214" s="163"/>
      <c r="H214" s="163"/>
      <c r="I214" s="163"/>
      <c r="J214" s="163"/>
      <c r="K214" s="163"/>
      <c r="L214" s="163"/>
      <c r="M214" s="163"/>
      <c r="N214" s="163"/>
      <c r="O214" s="163">
        <f t="shared" si="21"/>
        <v>30240</v>
      </c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</row>
    <row r="215" spans="2:25" hidden="1">
      <c r="B215" t="s">
        <v>450</v>
      </c>
      <c r="C215" s="163"/>
      <c r="E215">
        <f>(+SALES!H45+SALES!H46+SALES!H49)*33/100</f>
        <v>28512</v>
      </c>
      <c r="F215">
        <f>(+SALES!H45+SALES!H46+SALES!H49)*27/100</f>
        <v>23328</v>
      </c>
      <c r="G215" s="163"/>
      <c r="H215" s="163"/>
      <c r="I215" s="163"/>
      <c r="J215" s="163"/>
      <c r="K215" s="163"/>
      <c r="L215" s="163"/>
      <c r="M215" s="163"/>
      <c r="N215" s="163"/>
      <c r="O215" s="163">
        <f t="shared" si="21"/>
        <v>51840</v>
      </c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</row>
    <row r="216" spans="2:25" hidden="1">
      <c r="B216" t="s">
        <v>452</v>
      </c>
      <c r="C216" s="163"/>
      <c r="D216" s="163"/>
      <c r="E216" s="163"/>
      <c r="F216">
        <f>(+SALES!K45+SALES!K46+SALES!K49)*33/100</f>
        <v>37224</v>
      </c>
      <c r="G216">
        <f>(+SALES!K45+SALES!K46+SALES!K49)*27/100</f>
        <v>30456</v>
      </c>
      <c r="H216" s="163"/>
      <c r="I216" s="163"/>
      <c r="J216" s="163"/>
      <c r="K216" s="163"/>
      <c r="L216" s="163"/>
      <c r="M216" s="163"/>
      <c r="N216" s="163"/>
      <c r="O216" s="163">
        <f t="shared" si="21"/>
        <v>67680</v>
      </c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</row>
    <row r="217" spans="2:25" hidden="1">
      <c r="B217" t="s">
        <v>453</v>
      </c>
      <c r="C217" s="163"/>
      <c r="D217" s="163"/>
      <c r="E217" s="163"/>
      <c r="F217" s="163"/>
      <c r="G217">
        <f>(+SALES!N45+SALES!N46+SALES!N49)*33/100</f>
        <v>37224</v>
      </c>
      <c r="H217">
        <f>(+SALES!N45+SALES!N46+SALES!N49)*27/100</f>
        <v>30456</v>
      </c>
      <c r="I217" s="163"/>
      <c r="J217" s="163"/>
      <c r="K217" s="163"/>
      <c r="L217" s="163"/>
      <c r="M217" s="163"/>
      <c r="N217" s="163"/>
      <c r="O217" s="163">
        <f t="shared" si="21"/>
        <v>67680</v>
      </c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</row>
    <row r="218" spans="2:25" hidden="1">
      <c r="B218" t="s">
        <v>454</v>
      </c>
      <c r="C218" s="163"/>
      <c r="D218" s="163"/>
      <c r="E218" s="163"/>
      <c r="F218" s="163"/>
      <c r="G218" s="163"/>
      <c r="H218">
        <f>(+SALES!Q45+SALES!Q46+SALES!Q49)*33/100</f>
        <v>41976</v>
      </c>
      <c r="I218">
        <f>(+SALES!Q45+SALES!Q46+SALES!Q49)*27/100</f>
        <v>34344</v>
      </c>
      <c r="J218" s="163"/>
      <c r="K218" s="163"/>
      <c r="L218" s="163"/>
      <c r="M218" s="163"/>
      <c r="N218" s="163"/>
      <c r="O218" s="163">
        <f t="shared" si="21"/>
        <v>76320</v>
      </c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</row>
    <row r="219" spans="2:25" hidden="1">
      <c r="B219" t="s">
        <v>455</v>
      </c>
      <c r="C219" s="163"/>
      <c r="D219" s="163"/>
      <c r="E219" s="163"/>
      <c r="F219" s="163"/>
      <c r="G219" s="163"/>
      <c r="H219" s="163"/>
      <c r="I219">
        <f>(+SALES!T592+SALES!T46+SALES!T49)*33/100</f>
        <v>30096</v>
      </c>
      <c r="J219">
        <f>(+SALES!T45+SALES!T46+SALES!T49)*27/100</f>
        <v>34344</v>
      </c>
      <c r="K219" s="163"/>
      <c r="L219" s="163"/>
      <c r="M219" s="163"/>
      <c r="N219" s="163"/>
      <c r="O219" s="163">
        <f t="shared" si="21"/>
        <v>64440</v>
      </c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</row>
    <row r="220" spans="2:25" hidden="1">
      <c r="B220" t="s">
        <v>456</v>
      </c>
      <c r="C220" s="163"/>
      <c r="D220" s="163"/>
      <c r="E220" s="163"/>
      <c r="F220" s="163"/>
      <c r="G220" s="163"/>
      <c r="H220" s="163"/>
      <c r="I220" s="163"/>
      <c r="J220">
        <f>(+SALES!W45+SALES!W46+SALES!W647)*33/100</f>
        <v>21384</v>
      </c>
      <c r="K220">
        <f>(+SALES!W45+SALES!W46+SALES!W647)*27/100</f>
        <v>17496</v>
      </c>
      <c r="L220" s="163"/>
      <c r="M220" s="163"/>
      <c r="N220" s="163"/>
      <c r="O220" s="163">
        <f t="shared" si="21"/>
        <v>38880</v>
      </c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</row>
    <row r="221" spans="2:25" hidden="1">
      <c r="B221" t="s">
        <v>457</v>
      </c>
      <c r="C221" s="163"/>
      <c r="D221" s="163"/>
      <c r="E221" s="163"/>
      <c r="F221" s="163"/>
      <c r="G221" s="163"/>
      <c r="H221" s="163"/>
      <c r="I221" s="163"/>
      <c r="J221" s="163"/>
      <c r="K221">
        <f>(+SALES!Z46+SALES!Z47+SALES!Z49)*33/100</f>
        <v>39699</v>
      </c>
      <c r="L221">
        <f>(+SALES!Z45+SALES!Z46+SALES!Z49)*27/100</f>
        <v>26568</v>
      </c>
      <c r="M221" s="163"/>
      <c r="N221" s="163"/>
      <c r="O221" s="163">
        <f t="shared" si="21"/>
        <v>66267</v>
      </c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</row>
    <row r="222" spans="2:25" hidden="1">
      <c r="B222" t="s">
        <v>458</v>
      </c>
      <c r="C222" s="163"/>
      <c r="D222" s="163"/>
      <c r="E222" s="163"/>
      <c r="F222" s="163"/>
      <c r="G222" s="163"/>
      <c r="H222" s="163"/>
      <c r="I222" s="163"/>
      <c r="J222" s="163"/>
      <c r="K222" s="163"/>
      <c r="L222">
        <f>(+SALES!AC45+SALES!AC46+SALES!AC49)*33/100</f>
        <v>37224</v>
      </c>
      <c r="M222">
        <f>(+SALES!AC45+SALES!AC46+SALES!AC49)*27/100</f>
        <v>30456</v>
      </c>
      <c r="N222" s="163"/>
      <c r="O222" s="163">
        <f t="shared" si="21"/>
        <v>67680</v>
      </c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</row>
    <row r="223" spans="2:25" hidden="1">
      <c r="B223" t="s">
        <v>459</v>
      </c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>
        <f>(+SALES!AF45+SALES!AF46+SALES!AF49)*33/100</f>
        <v>32472</v>
      </c>
      <c r="N223">
        <f>(+SALES!AF45+SALES!AF46+SALES!AF49)*27/100</f>
        <v>26568</v>
      </c>
      <c r="O223" s="163">
        <f t="shared" si="21"/>
        <v>59040</v>
      </c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</row>
    <row r="224" spans="2:25" hidden="1">
      <c r="B224" t="s">
        <v>460</v>
      </c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>
        <f>(+SALES!AI45+SALES!AI46+SALES!AI49)*33/100</f>
        <v>32472</v>
      </c>
      <c r="O224" s="163">
        <f t="shared" si="21"/>
        <v>32472</v>
      </c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</row>
    <row r="225" spans="1:25" hidden="1">
      <c r="B225" t="s">
        <v>461</v>
      </c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</row>
    <row r="226" spans="1:25" s="280" customFormat="1" ht="13.5" hidden="1" thickBot="1">
      <c r="A226" s="280" t="s">
        <v>718</v>
      </c>
      <c r="B226" s="280" t="s">
        <v>535</v>
      </c>
      <c r="C226" s="300">
        <f>SUM(C213:C225)</f>
        <v>0</v>
      </c>
      <c r="D226" s="300">
        <f t="shared" ref="D226:O226" si="22">SUM(D213:D225)</f>
        <v>16632</v>
      </c>
      <c r="E226" s="300">
        <f t="shared" si="22"/>
        <v>42120</v>
      </c>
      <c r="F226" s="300">
        <f t="shared" si="22"/>
        <v>60552</v>
      </c>
      <c r="G226" s="300">
        <f t="shared" si="22"/>
        <v>67680</v>
      </c>
      <c r="H226" s="300">
        <f t="shared" si="22"/>
        <v>72432</v>
      </c>
      <c r="I226" s="300">
        <f t="shared" si="22"/>
        <v>64440</v>
      </c>
      <c r="J226" s="300">
        <f t="shared" si="22"/>
        <v>55728</v>
      </c>
      <c r="K226" s="300">
        <f t="shared" si="22"/>
        <v>57195</v>
      </c>
      <c r="L226" s="300">
        <f t="shared" si="22"/>
        <v>63792</v>
      </c>
      <c r="M226" s="300">
        <f t="shared" si="22"/>
        <v>62928</v>
      </c>
      <c r="N226" s="300">
        <f t="shared" si="22"/>
        <v>59040</v>
      </c>
      <c r="O226" s="300">
        <f t="shared" si="22"/>
        <v>622539</v>
      </c>
      <c r="P226" s="300">
        <f>SUM(C226:N226)</f>
        <v>622539</v>
      </c>
      <c r="Q226" s="300"/>
      <c r="R226" s="300"/>
      <c r="S226" s="300"/>
      <c r="T226" s="300"/>
      <c r="U226" s="300"/>
      <c r="V226" s="300"/>
      <c r="W226" s="300"/>
      <c r="X226" s="300"/>
      <c r="Y226" s="300"/>
    </row>
    <row r="227" spans="1:25" ht="13.5" hidden="1" thickTop="1"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</row>
    <row r="228" spans="1:25" hidden="1">
      <c r="B228" s="295" t="s">
        <v>530</v>
      </c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</row>
    <row r="229" spans="1:25" hidden="1">
      <c r="B229" t="s">
        <v>531</v>
      </c>
      <c r="C229" s="163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</row>
    <row r="230" spans="1:25" hidden="1">
      <c r="B230" t="s">
        <v>532</v>
      </c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298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</row>
    <row r="231" spans="1:25" hidden="1">
      <c r="B231" t="s">
        <v>533</v>
      </c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298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</row>
    <row r="232" spans="1:25" hidden="1">
      <c r="B232" t="s">
        <v>534</v>
      </c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298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</row>
    <row r="233" spans="1:25" hidden="1"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</row>
    <row r="234" spans="1:25" s="280" customFormat="1" ht="13.5" hidden="1" thickBot="1">
      <c r="B234" s="280" t="s">
        <v>535</v>
      </c>
      <c r="C234" s="300">
        <f>SUM(C229:C233)</f>
        <v>0</v>
      </c>
      <c r="D234" s="300">
        <f t="shared" ref="D234:N234" si="23">SUM(D229:D233)</f>
        <v>0</v>
      </c>
      <c r="E234" s="300">
        <f t="shared" si="23"/>
        <v>0</v>
      </c>
      <c r="F234" s="300">
        <f t="shared" si="23"/>
        <v>0</v>
      </c>
      <c r="G234" s="300">
        <f t="shared" si="23"/>
        <v>0</v>
      </c>
      <c r="H234" s="300">
        <f t="shared" si="23"/>
        <v>0</v>
      </c>
      <c r="I234" s="300">
        <f t="shared" si="23"/>
        <v>0</v>
      </c>
      <c r="J234" s="300">
        <f t="shared" si="23"/>
        <v>0</v>
      </c>
      <c r="K234" s="300">
        <f t="shared" si="23"/>
        <v>0</v>
      </c>
      <c r="L234" s="300">
        <f t="shared" si="23"/>
        <v>0</v>
      </c>
      <c r="M234" s="300">
        <f t="shared" si="23"/>
        <v>0</v>
      </c>
      <c r="N234" s="300">
        <f t="shared" si="23"/>
        <v>0</v>
      </c>
      <c r="O234" s="300">
        <f>SUM(O229:O233)</f>
        <v>0</v>
      </c>
      <c r="P234" s="300">
        <f>SUM(C234:N234)</f>
        <v>0</v>
      </c>
      <c r="Q234" s="300"/>
      <c r="R234" s="300"/>
      <c r="S234" s="300"/>
      <c r="T234" s="300"/>
      <c r="U234" s="300"/>
      <c r="V234" s="300"/>
      <c r="W234" s="300"/>
      <c r="X234" s="300"/>
      <c r="Y234" s="300"/>
    </row>
    <row r="235" spans="1:25" ht="13.5" thickTop="1"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</row>
    <row r="236" spans="1:25"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</row>
    <row r="237" spans="1:25">
      <c r="B237" t="s">
        <v>125</v>
      </c>
      <c r="C237" s="163">
        <f>+C205+C188</f>
        <v>175000</v>
      </c>
      <c r="D237" s="163">
        <f t="shared" ref="D237:K237" si="24">+D205+D188</f>
        <v>487500</v>
      </c>
      <c r="E237" s="163">
        <f t="shared" si="24"/>
        <v>627500</v>
      </c>
      <c r="F237" s="163">
        <f t="shared" si="24"/>
        <v>437500</v>
      </c>
      <c r="G237" s="163">
        <f>+G205+G188</f>
        <v>487500</v>
      </c>
      <c r="H237" s="163">
        <f t="shared" si="24"/>
        <v>502500</v>
      </c>
      <c r="I237" s="163">
        <f>+I205+I188</f>
        <v>460000</v>
      </c>
      <c r="J237" s="163">
        <f t="shared" si="24"/>
        <v>407500</v>
      </c>
      <c r="K237" s="163">
        <f t="shared" si="24"/>
        <v>350000</v>
      </c>
      <c r="L237" s="163">
        <f>+L205+L188</f>
        <v>312500</v>
      </c>
      <c r="M237" s="163">
        <f>+M205+M188</f>
        <v>327500</v>
      </c>
      <c r="N237" s="163">
        <f>+N205+N188</f>
        <v>337500</v>
      </c>
      <c r="O237" s="163">
        <f>+O205+O188</f>
        <v>4912500</v>
      </c>
      <c r="P237" s="163">
        <f>SUM(C237:N237)</f>
        <v>4912500</v>
      </c>
      <c r="Q237" s="163">
        <f>SUM(P191:P235)</f>
        <v>5220039</v>
      </c>
      <c r="R237" s="163"/>
      <c r="S237" s="163"/>
      <c r="T237" s="163"/>
      <c r="U237" s="163"/>
      <c r="V237" s="163"/>
      <c r="W237" s="163"/>
      <c r="X237" s="163"/>
      <c r="Y237" s="163"/>
    </row>
    <row r="238" spans="1:25">
      <c r="C238" s="163"/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</row>
    <row r="239" spans="1:25">
      <c r="C239" s="163"/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</row>
    <row r="240" spans="1:25">
      <c r="B240" t="s">
        <v>851</v>
      </c>
      <c r="C240" s="163"/>
      <c r="D240" s="163"/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</row>
    <row r="241" spans="3:25"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</row>
    <row r="242" spans="3:25">
      <c r="C242" s="163"/>
      <c r="D242" s="163"/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</row>
    <row r="243" spans="3:25">
      <c r="C243" s="163"/>
      <c r="D243" s="163"/>
      <c r="E243" s="163"/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</row>
    <row r="244" spans="3:25">
      <c r="C244" s="163"/>
      <c r="D244" s="163"/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</row>
    <row r="245" spans="3:25">
      <c r="C245" s="163"/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</row>
    <row r="246" spans="3:25">
      <c r="C246" s="16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</row>
    <row r="247" spans="3:25"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</row>
    <row r="248" spans="3:25">
      <c r="C248" s="163"/>
      <c r="D248" s="163"/>
      <c r="E248" s="163"/>
      <c r="F248" s="163"/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</row>
    <row r="249" spans="3:25">
      <c r="C249" s="163"/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</row>
    <row r="250" spans="3:25"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</row>
    <row r="251" spans="3:25">
      <c r="C251" s="163"/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</row>
    <row r="252" spans="3:25">
      <c r="C252" s="163"/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</row>
    <row r="253" spans="3:25"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</row>
    <row r="254" spans="3:25">
      <c r="C254" s="163"/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</row>
    <row r="255" spans="3:25">
      <c r="C255" s="163"/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</row>
    <row r="256" spans="3:25"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</row>
    <row r="257" spans="3:25">
      <c r="C257" s="163"/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</row>
    <row r="258" spans="3:25">
      <c r="C258" s="163"/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</row>
    <row r="259" spans="3:25"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</row>
    <row r="260" spans="3:25">
      <c r="C260" s="163"/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</row>
    <row r="261" spans="3:25">
      <c r="C261" s="163"/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</row>
    <row r="262" spans="3:25">
      <c r="C262" s="163"/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</row>
    <row r="263" spans="3:25">
      <c r="C263" s="163"/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</row>
    <row r="264" spans="3:25">
      <c r="C264" s="163"/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</row>
    <row r="265" spans="3:25">
      <c r="C265" s="163"/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</row>
    <row r="266" spans="3:25">
      <c r="C266" s="163"/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</row>
    <row r="267" spans="3:25">
      <c r="C267" s="163"/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</row>
    <row r="268" spans="3:25"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</row>
    <row r="269" spans="3:25"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</row>
    <row r="270" spans="3:25"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</row>
    <row r="271" spans="3:25">
      <c r="C271" s="163"/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</row>
    <row r="272" spans="3:25">
      <c r="C272" s="163"/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</row>
    <row r="273" spans="3:25">
      <c r="C273" s="163"/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</row>
    <row r="274" spans="3:25"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</row>
    <row r="275" spans="3:25">
      <c r="C275" s="163"/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</row>
    <row r="276" spans="3:25"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</row>
    <row r="277" spans="3:25"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</row>
    <row r="278" spans="3:25">
      <c r="C278" s="163"/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</row>
    <row r="279" spans="3:25">
      <c r="C279" s="163"/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</row>
    <row r="280" spans="3:25"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</row>
    <row r="281" spans="3:25">
      <c r="C281" s="163"/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</row>
    <row r="282" spans="3:25">
      <c r="C282" s="163"/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</row>
    <row r="283" spans="3:25">
      <c r="C283" s="163"/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</row>
    <row r="284" spans="3:25">
      <c r="C284" s="163"/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</row>
    <row r="285" spans="3:25">
      <c r="C285" s="163"/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</row>
    <row r="286" spans="3:25"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</row>
    <row r="287" spans="3:25"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</row>
    <row r="288" spans="3:25">
      <c r="C288" s="163"/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</row>
    <row r="289" spans="3:25">
      <c r="C289" s="163"/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</row>
    <row r="290" spans="3:25"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</row>
    <row r="291" spans="3:25"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</row>
    <row r="292" spans="3:25"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</row>
    <row r="293" spans="3:25">
      <c r="C293" s="163"/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</row>
    <row r="294" spans="3:25">
      <c r="C294" s="163"/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</row>
    <row r="295" spans="3:25">
      <c r="C295" s="163"/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</row>
    <row r="296" spans="3:25">
      <c r="C296" s="163"/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</row>
    <row r="297" spans="3:25">
      <c r="C297" s="163"/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</row>
    <row r="298" spans="3:25">
      <c r="C298" s="163"/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</row>
    <row r="299" spans="3:25">
      <c r="C299" s="163"/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</row>
    <row r="300" spans="3:25">
      <c r="C300" s="163"/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</row>
    <row r="301" spans="3:25">
      <c r="C301" s="163"/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</row>
    <row r="302" spans="3:25">
      <c r="C302" s="163"/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</row>
    <row r="303" spans="3:25">
      <c r="C303" s="163"/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</row>
    <row r="304" spans="3:25">
      <c r="C304" s="163"/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</row>
    <row r="305" spans="3:25"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</row>
    <row r="306" spans="3:25">
      <c r="C306" s="163"/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</row>
    <row r="307" spans="3:25">
      <c r="C307" s="163"/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</row>
    <row r="308" spans="3:25">
      <c r="C308" s="163"/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</row>
    <row r="309" spans="3:25">
      <c r="C309" s="163"/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</row>
    <row r="310" spans="3:25">
      <c r="C310" s="163"/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</row>
    <row r="311" spans="3:25">
      <c r="C311" s="163"/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</row>
    <row r="312" spans="3:25">
      <c r="C312" s="163"/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</row>
    <row r="313" spans="3:25">
      <c r="C313" s="163"/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</row>
    <row r="314" spans="3:25">
      <c r="C314" s="163"/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</row>
    <row r="315" spans="3:25"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</row>
    <row r="316" spans="3:25">
      <c r="C316" s="163"/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</row>
    <row r="317" spans="3:25">
      <c r="C317" s="163"/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</row>
    <row r="318" spans="3:25">
      <c r="C318" s="163"/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</row>
    <row r="319" spans="3:25">
      <c r="C319" s="163"/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</row>
    <row r="320" spans="3:25">
      <c r="C320" s="163"/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</row>
    <row r="321" spans="3:25">
      <c r="C321" s="163"/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</row>
    <row r="322" spans="3:25"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</row>
    <row r="323" spans="3:25">
      <c r="C323" s="163"/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</row>
    <row r="324" spans="3:25">
      <c r="C324" s="163"/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</row>
    <row r="325" spans="3:25">
      <c r="C325" s="163"/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</row>
    <row r="326" spans="3:25">
      <c r="C326" s="163"/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</row>
    <row r="327" spans="3:25">
      <c r="C327" s="163"/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</row>
    <row r="328" spans="3:25">
      <c r="C328" s="163"/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</row>
    <row r="329" spans="3:25">
      <c r="C329" s="163"/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</row>
    <row r="330" spans="3:25">
      <c r="C330" s="163"/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</row>
    <row r="331" spans="3:25">
      <c r="C331" s="163"/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</row>
    <row r="332" spans="3:25">
      <c r="C332" s="163"/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</row>
    <row r="333" spans="3:25">
      <c r="C333" s="163"/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</row>
    <row r="334" spans="3:25">
      <c r="C334" s="163"/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</row>
    <row r="335" spans="3:25">
      <c r="C335" s="163"/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</row>
    <row r="336" spans="3:25"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</row>
    <row r="337" spans="3:25">
      <c r="C337" s="163"/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</row>
    <row r="338" spans="3:25">
      <c r="C338" s="163"/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</row>
    <row r="339" spans="3:25">
      <c r="C339" s="163"/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</row>
    <row r="340" spans="3:25"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</row>
    <row r="341" spans="3:25">
      <c r="C341" s="163"/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</row>
    <row r="342" spans="3:25">
      <c r="C342" s="163"/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</row>
    <row r="343" spans="3:25">
      <c r="C343" s="163"/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</row>
    <row r="344" spans="3:25">
      <c r="C344" s="163"/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</row>
    <row r="345" spans="3:25">
      <c r="C345" s="163"/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</row>
    <row r="346" spans="3:25">
      <c r="C346" s="163"/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</row>
    <row r="347" spans="3:25"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</row>
    <row r="348" spans="3:25">
      <c r="C348" s="163"/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</row>
    <row r="349" spans="3:25">
      <c r="C349" s="163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</row>
    <row r="350" spans="3:25">
      <c r="C350" s="163"/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</row>
    <row r="351" spans="3:25">
      <c r="C351" s="163"/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</row>
    <row r="352" spans="3:25">
      <c r="C352" s="163"/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</row>
    <row r="353" spans="3:25">
      <c r="C353" s="163"/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</row>
    <row r="354" spans="3:25">
      <c r="C354" s="163"/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</row>
    <row r="355" spans="3:25">
      <c r="C355" s="163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</row>
    <row r="356" spans="3:25">
      <c r="C356" s="163"/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</row>
    <row r="357" spans="3:25">
      <c r="C357" s="163"/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</row>
    <row r="358" spans="3:25"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</row>
    <row r="359" spans="3:25"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</row>
    <row r="360" spans="3:25"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</row>
    <row r="361" spans="3:25"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</row>
    <row r="362" spans="3:25"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</row>
    <row r="363" spans="3:25"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</row>
    <row r="364" spans="3:25"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</row>
    <row r="365" spans="3:25"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</row>
    <row r="366" spans="3:25"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</row>
    <row r="367" spans="3:25"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</row>
    <row r="368" spans="3:25"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</row>
    <row r="369" spans="3:25"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</row>
    <row r="370" spans="3:25"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</row>
    <row r="371" spans="3:25"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</row>
    <row r="372" spans="3:25"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</row>
    <row r="373" spans="3:25"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</row>
    <row r="374" spans="3:25"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</row>
    <row r="375" spans="3:25"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</row>
    <row r="376" spans="3:25"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</row>
    <row r="377" spans="3:25"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</row>
    <row r="378" spans="3:25"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</row>
    <row r="379" spans="3:25"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</row>
    <row r="380" spans="3:25"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</row>
    <row r="381" spans="3:25"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</row>
    <row r="382" spans="3:25"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</row>
    <row r="383" spans="3:25"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</row>
    <row r="384" spans="3:25"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</row>
    <row r="385" spans="3:25"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</row>
    <row r="386" spans="3:25"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</row>
    <row r="387" spans="3:25"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</row>
    <row r="388" spans="3:25"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</row>
    <row r="389" spans="3:25"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</row>
    <row r="390" spans="3:25"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</row>
    <row r="391" spans="3:25"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</row>
    <row r="392" spans="3:25"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</row>
    <row r="393" spans="3:25"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</row>
    <row r="394" spans="3:25"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</row>
    <row r="395" spans="3:25"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</row>
    <row r="396" spans="3:25"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</row>
    <row r="397" spans="3:25"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</row>
    <row r="398" spans="3:25"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</row>
    <row r="399" spans="3:25"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</row>
    <row r="400" spans="3:25"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</row>
    <row r="401" spans="3:25"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</row>
    <row r="402" spans="3:25"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</row>
    <row r="403" spans="3:25"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</row>
    <row r="404" spans="3:25"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</row>
    <row r="405" spans="3:25"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</row>
    <row r="406" spans="3:25"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</row>
    <row r="407" spans="3:25"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</row>
    <row r="408" spans="3:25"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</row>
    <row r="409" spans="3:25"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</row>
    <row r="410" spans="3:25"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</row>
    <row r="411" spans="3:25"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</row>
    <row r="412" spans="3:25"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</row>
    <row r="413" spans="3:25"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</row>
    <row r="414" spans="3:25"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</row>
    <row r="415" spans="3:25"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</row>
    <row r="416" spans="3:25"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</row>
    <row r="417" spans="3:25"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</row>
    <row r="418" spans="3:25"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</row>
    <row r="419" spans="3:25"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</row>
    <row r="420" spans="3:25"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</row>
    <row r="421" spans="3:25"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</row>
    <row r="422" spans="3:25"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</row>
    <row r="423" spans="3:25"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</row>
    <row r="424" spans="3:25"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</row>
    <row r="425" spans="3:25"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</row>
    <row r="426" spans="3:25"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</row>
    <row r="427" spans="3:25"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</row>
    <row r="428" spans="3:25"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</row>
    <row r="429" spans="3:25"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</row>
    <row r="430" spans="3:25"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</row>
    <row r="431" spans="3:25"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</row>
    <row r="432" spans="3:25"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</row>
    <row r="433" spans="3:25"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</row>
    <row r="434" spans="3:25"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</row>
    <row r="435" spans="3:25"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</row>
    <row r="436" spans="3:25"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</row>
    <row r="437" spans="3:25"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</row>
    <row r="438" spans="3:25"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</row>
    <row r="439" spans="3:25"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</row>
    <row r="440" spans="3:25"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</row>
    <row r="441" spans="3:25"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</row>
    <row r="442" spans="3:25"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</row>
    <row r="443" spans="3:25"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</row>
    <row r="444" spans="3:25"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</row>
    <row r="445" spans="3:25"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</row>
    <row r="446" spans="3:25"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</row>
    <row r="447" spans="3:25"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</row>
    <row r="448" spans="3:25"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</row>
    <row r="449" spans="3:25"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</row>
    <row r="450" spans="3:25"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</row>
    <row r="451" spans="3:25"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</row>
    <row r="452" spans="3:25"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</row>
    <row r="453" spans="3:25"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</row>
    <row r="454" spans="3:25"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</row>
    <row r="455" spans="3:25"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</row>
    <row r="456" spans="3:25"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</row>
    <row r="457" spans="3:25"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</row>
    <row r="458" spans="3:25"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</row>
    <row r="459" spans="3:25"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</row>
    <row r="460" spans="3:25"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</row>
    <row r="461" spans="3:25"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</row>
    <row r="462" spans="3:25"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</row>
    <row r="463" spans="3:25"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</row>
    <row r="464" spans="3:25"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</row>
    <row r="465" spans="3:25"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</row>
    <row r="466" spans="3:25"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</row>
    <row r="467" spans="3:25"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</row>
    <row r="468" spans="3:25"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</row>
    <row r="469" spans="3:25"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</row>
    <row r="470" spans="3:25"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</row>
    <row r="471" spans="3:25"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</row>
    <row r="472" spans="3:25"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</row>
    <row r="473" spans="3:25"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</row>
    <row r="474" spans="3:25"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</row>
    <row r="475" spans="3:25">
      <c r="C475" s="163"/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</row>
    <row r="476" spans="3:25">
      <c r="C476" s="163"/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</row>
    <row r="477" spans="3:25">
      <c r="C477" s="163"/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</row>
    <row r="478" spans="3:25">
      <c r="C478" s="163"/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</row>
    <row r="479" spans="3:25"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</row>
    <row r="480" spans="3:25">
      <c r="C480" s="163"/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</row>
    <row r="481" spans="3:25">
      <c r="C481" s="163"/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</row>
    <row r="482" spans="3:25">
      <c r="C482" s="163"/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</row>
    <row r="483" spans="3:25">
      <c r="C483" s="163"/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</row>
    <row r="484" spans="3:25"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</row>
    <row r="485" spans="3:25"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</row>
    <row r="486" spans="3:25">
      <c r="C486" s="163"/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</row>
    <row r="487" spans="3:25"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</row>
    <row r="488" spans="3:25"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</row>
    <row r="489" spans="3:25"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</row>
    <row r="490" spans="3:25"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</row>
    <row r="491" spans="3:25"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</row>
    <row r="492" spans="3:25"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</row>
    <row r="493" spans="3:25"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</row>
    <row r="494" spans="3:25"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</row>
    <row r="495" spans="3:25"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</row>
    <row r="496" spans="3:25">
      <c r="C496" s="163"/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</row>
  </sheetData>
  <phoneticPr fontId="0" type="noConversion"/>
  <printOptions horizontalCentered="1" verticalCentered="1" gridLines="1"/>
  <pageMargins left="0.18" right="0.22" top="1" bottom="1" header="0.5" footer="0.5"/>
  <pageSetup scale="80" orientation="landscape" r:id="rId1"/>
  <headerFooter alignWithMargins="0"/>
  <rowBreaks count="2" manualBreakCount="2">
    <brk id="67" max="16383" man="1"/>
    <brk id="83" max="24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Contents</vt:lpstr>
      <vt:lpstr>Key Indicators</vt:lpstr>
      <vt:lpstr>Monthly P &amp; L</vt:lpstr>
      <vt:lpstr>Cash Flow</vt:lpstr>
      <vt:lpstr>GEN. O.H</vt:lpstr>
      <vt:lpstr>Capex</vt:lpstr>
      <vt:lpstr>Staff requirements</vt:lpstr>
      <vt:lpstr>Cover Sheet</vt:lpstr>
      <vt:lpstr>CostFlow</vt:lpstr>
      <vt:lpstr>COS</vt:lpstr>
      <vt:lpstr>Bud Sche</vt:lpstr>
      <vt:lpstr>SALES</vt:lpstr>
      <vt:lpstr>Balance Sheet</vt:lpstr>
      <vt:lpstr>YTD Nov 01 PL</vt:lpstr>
      <vt:lpstr>INC.STATE</vt:lpstr>
      <vt:lpstr>Sheet4</vt:lpstr>
      <vt:lpstr>Sheet2</vt:lpstr>
      <vt:lpstr>Sheet3</vt:lpstr>
      <vt:lpstr>Staff Costs</vt:lpstr>
      <vt:lpstr>Sheet1</vt:lpstr>
      <vt:lpstr>Schedules</vt:lpstr>
      <vt:lpstr>Chart3</vt:lpstr>
      <vt:lpstr>GENERAL.OVERHEADS</vt:lpstr>
      <vt:lpstr>INC.STATEMENT</vt:lpstr>
      <vt:lpstr>MONTHLY.P.L</vt:lpstr>
      <vt:lpstr>COS!Print_Area</vt:lpstr>
      <vt:lpstr>'GEN. O.H'!Print_Area</vt:lpstr>
      <vt:lpstr>'Monthly P &amp; L'!Print_Area</vt:lpstr>
      <vt:lpstr>SALES!Print_Area</vt:lpstr>
      <vt:lpstr>'GEN. O.H'!Print_Titles</vt:lpstr>
      <vt:lpstr>'Monthly P &amp; L'!Print_Titles</vt:lpstr>
      <vt:lpstr>SALES!Print_Titles</vt:lpstr>
      <vt:lpstr>SALES</vt:lpstr>
    </vt:vector>
  </TitlesOfParts>
  <Company>Altajir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</dc:creator>
  <cp:lastModifiedBy>Anthony</cp:lastModifiedBy>
  <cp:lastPrinted>2003-01-02T14:11:31Z</cp:lastPrinted>
  <dcterms:created xsi:type="dcterms:W3CDTF">1999-01-21T06:35:58Z</dcterms:created>
  <dcterms:modified xsi:type="dcterms:W3CDTF">2009-01-15T11:27:30Z</dcterms:modified>
</cp:coreProperties>
</file>